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C81BAC16-CBF0-48B0-9188-68AF93FE855E}" xr6:coauthVersionLast="47" xr6:coauthVersionMax="47" xr10:uidLastSave="{00000000-0000-0000-0000-000000000000}"/>
  <bookViews>
    <workbookView xWindow="-38520" yWindow="-120" windowWidth="38640" windowHeight="21120" xr2:uid="{66ECC41E-0D71-4BFB-BC07-F52A5FE8EB4E}"/>
  </bookViews>
  <sheets>
    <sheet name="Смета СН-2012 по гл. 1-5,7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работ'!$17:$17</definedName>
    <definedName name="_xlnm.Print_Titles" localSheetId="0">'Смета СН-2012 по гл. 1-5,7'!$31:$31</definedName>
    <definedName name="_xlnm.Print_Area" localSheetId="1">'Ведомость объемов работ'!$A$1:$F$73</definedName>
    <definedName name="_xlnm.Print_Area" localSheetId="0">'Смета СН-2012 по гл. 1-5,7'!$A$1:$K$368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70" i="1" l="1"/>
  <c r="F237" i="1"/>
  <c r="D71" i="8"/>
  <c r="D69" i="8"/>
  <c r="E66" i="8"/>
  <c r="C66" i="8"/>
  <c r="B66" i="8"/>
  <c r="E65" i="8"/>
  <c r="C65" i="8"/>
  <c r="B65" i="8"/>
  <c r="E64" i="8"/>
  <c r="C64" i="8"/>
  <c r="B64" i="8"/>
  <c r="E63" i="8"/>
  <c r="C63" i="8"/>
  <c r="B63" i="8"/>
  <c r="E62" i="8"/>
  <c r="C62" i="8"/>
  <c r="B62" i="8"/>
  <c r="E61" i="8"/>
  <c r="C61" i="8"/>
  <c r="B61" i="8"/>
  <c r="E60" i="8"/>
  <c r="C60" i="8"/>
  <c r="B60" i="8"/>
  <c r="E59" i="8"/>
  <c r="C59" i="8"/>
  <c r="B59" i="8"/>
  <c r="E58" i="8"/>
  <c r="C58" i="8"/>
  <c r="B58" i="8"/>
  <c r="E57" i="8"/>
  <c r="C57" i="8"/>
  <c r="B57" i="8"/>
  <c r="E56" i="8"/>
  <c r="C56" i="8"/>
  <c r="B56" i="8"/>
  <c r="E55" i="8"/>
  <c r="C55" i="8"/>
  <c r="B55" i="8"/>
  <c r="E54" i="8"/>
  <c r="C54" i="8"/>
  <c r="B54" i="8"/>
  <c r="E53" i="8"/>
  <c r="C53" i="8"/>
  <c r="B53" i="8"/>
  <c r="E52" i="8"/>
  <c r="C52" i="8"/>
  <c r="B52" i="8"/>
  <c r="E51" i="8"/>
  <c r="C51" i="8"/>
  <c r="B51" i="8"/>
  <c r="E50" i="8"/>
  <c r="C50" i="8"/>
  <c r="B50" i="8"/>
  <c r="A49" i="8"/>
  <c r="E48" i="8"/>
  <c r="C48" i="8"/>
  <c r="B48" i="8"/>
  <c r="E47" i="8"/>
  <c r="C47" i="8"/>
  <c r="B47" i="8"/>
  <c r="E46" i="8"/>
  <c r="C46" i="8"/>
  <c r="B46" i="8"/>
  <c r="E45" i="8"/>
  <c r="C45" i="8"/>
  <c r="B45" i="8"/>
  <c r="E44" i="8"/>
  <c r="C44" i="8"/>
  <c r="B44" i="8"/>
  <c r="E43" i="8"/>
  <c r="C43" i="8"/>
  <c r="B43" i="8"/>
  <c r="E42" i="8"/>
  <c r="C42" i="8"/>
  <c r="B42" i="8"/>
  <c r="E41" i="8"/>
  <c r="C41" i="8"/>
  <c r="B41" i="8"/>
  <c r="E40" i="8"/>
  <c r="C40" i="8"/>
  <c r="B40" i="8"/>
  <c r="E39" i="8"/>
  <c r="C39" i="8"/>
  <c r="B39" i="8"/>
  <c r="E38" i="8"/>
  <c r="C38" i="8"/>
  <c r="B38" i="8"/>
  <c r="E37" i="8"/>
  <c r="C37" i="8"/>
  <c r="B37" i="8"/>
  <c r="A36" i="8"/>
  <c r="E35" i="8"/>
  <c r="C35" i="8"/>
  <c r="B35" i="8"/>
  <c r="E34" i="8"/>
  <c r="C34" i="8"/>
  <c r="B34" i="8"/>
  <c r="E33" i="8"/>
  <c r="C33" i="8"/>
  <c r="B33" i="8"/>
  <c r="E32" i="8"/>
  <c r="C32" i="8"/>
  <c r="B32" i="8"/>
  <c r="E31" i="8"/>
  <c r="C31" i="8"/>
  <c r="B31" i="8"/>
  <c r="E30" i="8"/>
  <c r="C30" i="8"/>
  <c r="B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4" i="8"/>
  <c r="B13" i="8"/>
  <c r="B12" i="8"/>
  <c r="A1" i="8"/>
  <c r="H366" i="7"/>
  <c r="H363" i="7"/>
  <c r="C366" i="7"/>
  <c r="C363" i="7"/>
  <c r="C360" i="7"/>
  <c r="I359" i="7"/>
  <c r="C359" i="7"/>
  <c r="I358" i="7"/>
  <c r="C358" i="7"/>
  <c r="I26" i="7"/>
  <c r="I25" i="7"/>
  <c r="I24" i="7"/>
  <c r="I23" i="7"/>
  <c r="I22" i="7"/>
  <c r="I21" i="7"/>
  <c r="A357" i="7"/>
  <c r="I355" i="7"/>
  <c r="C355" i="7"/>
  <c r="I354" i="7"/>
  <c r="C354" i="7"/>
  <c r="A352" i="7"/>
  <c r="A349" i="7"/>
  <c r="K343" i="7"/>
  <c r="H343" i="7"/>
  <c r="G343" i="7"/>
  <c r="E343" i="7"/>
  <c r="E342" i="7"/>
  <c r="E341" i="7"/>
  <c r="E340" i="7"/>
  <c r="J339" i="7"/>
  <c r="I339" i="7"/>
  <c r="H339" i="7"/>
  <c r="G339" i="7"/>
  <c r="F339" i="7"/>
  <c r="J338" i="7"/>
  <c r="I338" i="7"/>
  <c r="H338" i="7"/>
  <c r="G338" i="7"/>
  <c r="F338" i="7"/>
  <c r="J337" i="7"/>
  <c r="I337" i="7"/>
  <c r="H337" i="7"/>
  <c r="G337" i="7"/>
  <c r="F337" i="7"/>
  <c r="J336" i="7"/>
  <c r="I336" i="7"/>
  <c r="H336" i="7"/>
  <c r="G336" i="7"/>
  <c r="F336" i="7"/>
  <c r="V335" i="7"/>
  <c r="J342" i="7" s="1"/>
  <c r="T335" i="7"/>
  <c r="J341" i="7" s="1"/>
  <c r="R335" i="7"/>
  <c r="J340" i="7" s="1"/>
  <c r="U335" i="7"/>
  <c r="S335" i="7"/>
  <c r="Q335" i="7"/>
  <c r="E335" i="7"/>
  <c r="D335" i="7"/>
  <c r="C335" i="7"/>
  <c r="B335" i="7"/>
  <c r="K333" i="7"/>
  <c r="H333" i="7"/>
  <c r="G333" i="7"/>
  <c r="E333" i="7"/>
  <c r="J332" i="7"/>
  <c r="E332" i="7"/>
  <c r="J331" i="7"/>
  <c r="E331" i="7"/>
  <c r="J330" i="7"/>
  <c r="I334" i="7" s="1"/>
  <c r="I330" i="7"/>
  <c r="H330" i="7"/>
  <c r="G330" i="7"/>
  <c r="F330" i="7"/>
  <c r="C329" i="7"/>
  <c r="V328" i="7"/>
  <c r="T328" i="7"/>
  <c r="R328" i="7"/>
  <c r="U328" i="7"/>
  <c r="S328" i="7"/>
  <c r="Q328" i="7"/>
  <c r="E328" i="7"/>
  <c r="D328" i="7"/>
  <c r="C328" i="7"/>
  <c r="B328" i="7"/>
  <c r="K326" i="7"/>
  <c r="H326" i="7"/>
  <c r="G326" i="7"/>
  <c r="E326" i="7"/>
  <c r="J325" i="7"/>
  <c r="E325" i="7"/>
  <c r="J324" i="7"/>
  <c r="E324" i="7"/>
  <c r="J323" i="7"/>
  <c r="E323" i="7"/>
  <c r="J322" i="7"/>
  <c r="I322" i="7"/>
  <c r="H322" i="7"/>
  <c r="F322" i="7"/>
  <c r="V322" i="7"/>
  <c r="T322" i="7"/>
  <c r="R322" i="7"/>
  <c r="U322" i="7"/>
  <c r="S322" i="7"/>
  <c r="Q322" i="7"/>
  <c r="E322" i="7"/>
  <c r="D322" i="7"/>
  <c r="C322" i="7"/>
  <c r="B322" i="7"/>
  <c r="J321" i="7"/>
  <c r="I327" i="7" s="1"/>
  <c r="I321" i="7"/>
  <c r="H321" i="7"/>
  <c r="G321" i="7"/>
  <c r="F321" i="7"/>
  <c r="J320" i="7"/>
  <c r="I320" i="7"/>
  <c r="H320" i="7"/>
  <c r="G320" i="7"/>
  <c r="F320" i="7"/>
  <c r="J319" i="7"/>
  <c r="I319" i="7"/>
  <c r="H319" i="7"/>
  <c r="G319" i="7"/>
  <c r="F319" i="7"/>
  <c r="J318" i="7"/>
  <c r="I318" i="7"/>
  <c r="H318" i="7"/>
  <c r="G318" i="7"/>
  <c r="F318" i="7"/>
  <c r="C317" i="7"/>
  <c r="V316" i="7"/>
  <c r="T316" i="7"/>
  <c r="R316" i="7"/>
  <c r="U316" i="7"/>
  <c r="S316" i="7"/>
  <c r="Q316" i="7"/>
  <c r="E316" i="7"/>
  <c r="D316" i="7"/>
  <c r="C316" i="7"/>
  <c r="B316" i="7"/>
  <c r="K314" i="7"/>
  <c r="H314" i="7"/>
  <c r="G314" i="7"/>
  <c r="E314" i="7"/>
  <c r="E313" i="7"/>
  <c r="E312" i="7"/>
  <c r="J311" i="7"/>
  <c r="I311" i="7"/>
  <c r="H311" i="7"/>
  <c r="G311" i="7"/>
  <c r="F311" i="7"/>
  <c r="V310" i="7"/>
  <c r="T310" i="7"/>
  <c r="J313" i="7" s="1"/>
  <c r="R310" i="7"/>
  <c r="J312" i="7" s="1"/>
  <c r="U310" i="7"/>
  <c r="S310" i="7"/>
  <c r="Q310" i="7"/>
  <c r="E310" i="7"/>
  <c r="D310" i="7"/>
  <c r="C310" i="7"/>
  <c r="B310" i="7"/>
  <c r="K308" i="7"/>
  <c r="H308" i="7"/>
  <c r="G308" i="7"/>
  <c r="E308" i="7"/>
  <c r="E307" i="7"/>
  <c r="E306" i="7"/>
  <c r="E305" i="7"/>
  <c r="J304" i="7"/>
  <c r="I304" i="7"/>
  <c r="H304" i="7"/>
  <c r="G304" i="7"/>
  <c r="F304" i="7"/>
  <c r="J303" i="7"/>
  <c r="I303" i="7"/>
  <c r="H303" i="7"/>
  <c r="G303" i="7"/>
  <c r="F303" i="7"/>
  <c r="J302" i="7"/>
  <c r="I302" i="7"/>
  <c r="H302" i="7"/>
  <c r="G302" i="7"/>
  <c r="F302" i="7"/>
  <c r="J301" i="7"/>
  <c r="I301" i="7"/>
  <c r="H301" i="7"/>
  <c r="G301" i="7"/>
  <c r="F301" i="7"/>
  <c r="V300" i="7"/>
  <c r="J307" i="7" s="1"/>
  <c r="T300" i="7"/>
  <c r="J306" i="7" s="1"/>
  <c r="R300" i="7"/>
  <c r="J305" i="7" s="1"/>
  <c r="U300" i="7"/>
  <c r="S300" i="7"/>
  <c r="Q300" i="7"/>
  <c r="E300" i="7"/>
  <c r="D300" i="7"/>
  <c r="C300" i="7"/>
  <c r="B300" i="7"/>
  <c r="K298" i="7"/>
  <c r="H298" i="7"/>
  <c r="G298" i="7"/>
  <c r="E298" i="7"/>
  <c r="J297" i="7"/>
  <c r="E297" i="7"/>
  <c r="J296" i="7"/>
  <c r="E296" i="7"/>
  <c r="J295" i="7"/>
  <c r="I295" i="7"/>
  <c r="H295" i="7"/>
  <c r="G295" i="7"/>
  <c r="F295" i="7"/>
  <c r="J294" i="7"/>
  <c r="I299" i="7" s="1"/>
  <c r="I294" i="7"/>
  <c r="H294" i="7"/>
  <c r="G294" i="7"/>
  <c r="F294" i="7"/>
  <c r="C293" i="7"/>
  <c r="V292" i="7"/>
  <c r="T292" i="7"/>
  <c r="R292" i="7"/>
  <c r="U292" i="7"/>
  <c r="S292" i="7"/>
  <c r="Q292" i="7"/>
  <c r="E292" i="7"/>
  <c r="D292" i="7"/>
  <c r="C292" i="7"/>
  <c r="B292" i="7"/>
  <c r="K290" i="7"/>
  <c r="H290" i="7"/>
  <c r="G290" i="7"/>
  <c r="E290" i="7"/>
  <c r="E289" i="7"/>
  <c r="E288" i="7"/>
  <c r="E287" i="7"/>
  <c r="J286" i="7"/>
  <c r="I286" i="7"/>
  <c r="H286" i="7"/>
  <c r="G286" i="7"/>
  <c r="F286" i="7"/>
  <c r="J285" i="7"/>
  <c r="I285" i="7"/>
  <c r="H285" i="7"/>
  <c r="G285" i="7"/>
  <c r="F285" i="7"/>
  <c r="J284" i="7"/>
  <c r="I284" i="7"/>
  <c r="H284" i="7"/>
  <c r="G284" i="7"/>
  <c r="F284" i="7"/>
  <c r="J283" i="7"/>
  <c r="I283" i="7"/>
  <c r="H283" i="7"/>
  <c r="G283" i="7"/>
  <c r="F283" i="7"/>
  <c r="V282" i="7"/>
  <c r="J289" i="7" s="1"/>
  <c r="T282" i="7"/>
  <c r="J288" i="7" s="1"/>
  <c r="R282" i="7"/>
  <c r="J287" i="7" s="1"/>
  <c r="U282" i="7"/>
  <c r="S282" i="7"/>
  <c r="Q282" i="7"/>
  <c r="E282" i="7"/>
  <c r="D282" i="7"/>
  <c r="C282" i="7"/>
  <c r="B282" i="7"/>
  <c r="K280" i="7"/>
  <c r="H280" i="7"/>
  <c r="G280" i="7"/>
  <c r="E280" i="7"/>
  <c r="J279" i="7"/>
  <c r="E279" i="7"/>
  <c r="E278" i="7"/>
  <c r="J277" i="7"/>
  <c r="I277" i="7"/>
  <c r="H277" i="7"/>
  <c r="F277" i="7"/>
  <c r="V277" i="7"/>
  <c r="T277" i="7"/>
  <c r="R277" i="7"/>
  <c r="U277" i="7"/>
  <c r="S277" i="7"/>
  <c r="Q277" i="7"/>
  <c r="E277" i="7"/>
  <c r="D277" i="7"/>
  <c r="C277" i="7"/>
  <c r="B277" i="7"/>
  <c r="J276" i="7"/>
  <c r="I281" i="7" s="1"/>
  <c r="I276" i="7"/>
  <c r="H276" i="7"/>
  <c r="G276" i="7"/>
  <c r="F276" i="7"/>
  <c r="C275" i="7"/>
  <c r="V274" i="7"/>
  <c r="T274" i="7"/>
  <c r="R274" i="7"/>
  <c r="J278" i="7" s="1"/>
  <c r="U274" i="7"/>
  <c r="S274" i="7"/>
  <c r="Q274" i="7"/>
  <c r="E274" i="7"/>
  <c r="D274" i="7"/>
  <c r="C274" i="7"/>
  <c r="B274" i="7"/>
  <c r="K272" i="7"/>
  <c r="H272" i="7"/>
  <c r="G272" i="7"/>
  <c r="E272" i="7"/>
  <c r="J271" i="7"/>
  <c r="E271" i="7"/>
  <c r="J270" i="7"/>
  <c r="E270" i="7"/>
  <c r="E269" i="7"/>
  <c r="J268" i="7"/>
  <c r="I268" i="7"/>
  <c r="H268" i="7"/>
  <c r="F268" i="7"/>
  <c r="V268" i="7"/>
  <c r="T268" i="7"/>
  <c r="R268" i="7"/>
  <c r="U268" i="7"/>
  <c r="S268" i="7"/>
  <c r="Q268" i="7"/>
  <c r="E268" i="7"/>
  <c r="D268" i="7"/>
  <c r="C268" i="7"/>
  <c r="B268" i="7"/>
  <c r="J267" i="7"/>
  <c r="I267" i="7"/>
  <c r="H267" i="7"/>
  <c r="G267" i="7"/>
  <c r="F267" i="7"/>
  <c r="J266" i="7"/>
  <c r="I266" i="7"/>
  <c r="H266" i="7"/>
  <c r="G266" i="7"/>
  <c r="F266" i="7"/>
  <c r="J265" i="7"/>
  <c r="I265" i="7"/>
  <c r="H265" i="7"/>
  <c r="G265" i="7"/>
  <c r="F265" i="7"/>
  <c r="J264" i="7"/>
  <c r="I264" i="7"/>
  <c r="H264" i="7"/>
  <c r="G264" i="7"/>
  <c r="F264" i="7"/>
  <c r="V263" i="7"/>
  <c r="T263" i="7"/>
  <c r="R263" i="7"/>
  <c r="J269" i="7" s="1"/>
  <c r="U263" i="7"/>
  <c r="S263" i="7"/>
  <c r="Q263" i="7"/>
  <c r="E263" i="7"/>
  <c r="D263" i="7"/>
  <c r="C263" i="7"/>
  <c r="B263" i="7"/>
  <c r="K261" i="7"/>
  <c r="H261" i="7"/>
  <c r="G261" i="7"/>
  <c r="E261" i="7"/>
  <c r="E260" i="7"/>
  <c r="J259" i="7"/>
  <c r="E259" i="7"/>
  <c r="J258" i="7"/>
  <c r="E258" i="7"/>
  <c r="J257" i="7"/>
  <c r="I257" i="7"/>
  <c r="H257" i="7"/>
  <c r="G257" i="7"/>
  <c r="F257" i="7"/>
  <c r="J256" i="7"/>
  <c r="I262" i="7" s="1"/>
  <c r="I256" i="7"/>
  <c r="H256" i="7"/>
  <c r="G256" i="7"/>
  <c r="F256" i="7"/>
  <c r="J255" i="7"/>
  <c r="I255" i="7"/>
  <c r="H255" i="7"/>
  <c r="G255" i="7"/>
  <c r="F255" i="7"/>
  <c r="C254" i="7"/>
  <c r="V253" i="7"/>
  <c r="J260" i="7" s="1"/>
  <c r="T253" i="7"/>
  <c r="R253" i="7"/>
  <c r="U253" i="7"/>
  <c r="S253" i="7"/>
  <c r="Q253" i="7"/>
  <c r="E253" i="7"/>
  <c r="D253" i="7"/>
  <c r="C253" i="7"/>
  <c r="B253" i="7"/>
  <c r="I252" i="7"/>
  <c r="K252" i="7" s="1"/>
  <c r="K251" i="7"/>
  <c r="H251" i="7"/>
  <c r="G251" i="7"/>
  <c r="E251" i="7"/>
  <c r="E250" i="7"/>
  <c r="E249" i="7"/>
  <c r="J248" i="7"/>
  <c r="I248" i="7"/>
  <c r="H248" i="7"/>
  <c r="G248" i="7"/>
  <c r="F248" i="7"/>
  <c r="J247" i="7"/>
  <c r="I247" i="7"/>
  <c r="H247" i="7"/>
  <c r="G247" i="7"/>
  <c r="F247" i="7"/>
  <c r="C246" i="7"/>
  <c r="V245" i="7"/>
  <c r="T245" i="7"/>
  <c r="J250" i="7" s="1"/>
  <c r="R245" i="7"/>
  <c r="J249" i="7" s="1"/>
  <c r="U245" i="7"/>
  <c r="S245" i="7"/>
  <c r="Q245" i="7"/>
  <c r="E245" i="7"/>
  <c r="D245" i="7"/>
  <c r="C245" i="7"/>
  <c r="B245" i="7"/>
  <c r="K243" i="7"/>
  <c r="H243" i="7"/>
  <c r="G243" i="7"/>
  <c r="E243" i="7"/>
  <c r="E242" i="7"/>
  <c r="E241" i="7"/>
  <c r="E240" i="7"/>
  <c r="J239" i="7"/>
  <c r="I239" i="7"/>
  <c r="H239" i="7"/>
  <c r="G239" i="7"/>
  <c r="F239" i="7"/>
  <c r="J238" i="7"/>
  <c r="I238" i="7"/>
  <c r="H238" i="7"/>
  <c r="G238" i="7"/>
  <c r="F238" i="7"/>
  <c r="J237" i="7"/>
  <c r="I237" i="7"/>
  <c r="H237" i="7"/>
  <c r="G237" i="7"/>
  <c r="F237" i="7"/>
  <c r="J236" i="7"/>
  <c r="I244" i="7" s="1"/>
  <c r="I236" i="7"/>
  <c r="H236" i="7"/>
  <c r="G236" i="7"/>
  <c r="F236" i="7"/>
  <c r="V235" i="7"/>
  <c r="J242" i="7" s="1"/>
  <c r="T235" i="7"/>
  <c r="J241" i="7" s="1"/>
  <c r="R235" i="7"/>
  <c r="J240" i="7" s="1"/>
  <c r="U235" i="7"/>
  <c r="S235" i="7"/>
  <c r="Q235" i="7"/>
  <c r="E235" i="7"/>
  <c r="D235" i="7"/>
  <c r="C235" i="7"/>
  <c r="B235" i="7"/>
  <c r="K233" i="7"/>
  <c r="H233" i="7"/>
  <c r="G233" i="7"/>
  <c r="E233" i="7"/>
  <c r="J232" i="7"/>
  <c r="E232" i="7"/>
  <c r="J231" i="7"/>
  <c r="E231" i="7"/>
  <c r="J230" i="7"/>
  <c r="I234" i="7" s="1"/>
  <c r="I230" i="7"/>
  <c r="H230" i="7"/>
  <c r="G230" i="7"/>
  <c r="F230" i="7"/>
  <c r="C229" i="7"/>
  <c r="V228" i="7"/>
  <c r="T228" i="7"/>
  <c r="R228" i="7"/>
  <c r="U228" i="7"/>
  <c r="S228" i="7"/>
  <c r="Q228" i="7"/>
  <c r="E228" i="7"/>
  <c r="D228" i="7"/>
  <c r="C228" i="7"/>
  <c r="B228" i="7"/>
  <c r="K226" i="7"/>
  <c r="H226" i="7"/>
  <c r="G226" i="7"/>
  <c r="E226" i="7"/>
  <c r="E225" i="7"/>
  <c r="J224" i="7"/>
  <c r="E224" i="7"/>
  <c r="E223" i="7"/>
  <c r="J222" i="7"/>
  <c r="I222" i="7"/>
  <c r="H222" i="7"/>
  <c r="G222" i="7"/>
  <c r="F222" i="7"/>
  <c r="J221" i="7"/>
  <c r="I221" i="7"/>
  <c r="H221" i="7"/>
  <c r="G221" i="7"/>
  <c r="F221" i="7"/>
  <c r="J220" i="7"/>
  <c r="I220" i="7"/>
  <c r="H220" i="7"/>
  <c r="G220" i="7"/>
  <c r="F220" i="7"/>
  <c r="C219" i="7"/>
  <c r="V218" i="7"/>
  <c r="J225" i="7" s="1"/>
  <c r="T218" i="7"/>
  <c r="R218" i="7"/>
  <c r="J223" i="7" s="1"/>
  <c r="U218" i="7"/>
  <c r="S218" i="7"/>
  <c r="Q218" i="7"/>
  <c r="E218" i="7"/>
  <c r="D218" i="7"/>
  <c r="C218" i="7"/>
  <c r="B218" i="7"/>
  <c r="A217" i="7"/>
  <c r="A214" i="7"/>
  <c r="K211" i="7"/>
  <c r="H211" i="7"/>
  <c r="G211" i="7"/>
  <c r="E211" i="7"/>
  <c r="J210" i="7"/>
  <c r="E210" i="7"/>
  <c r="J209" i="7"/>
  <c r="E209" i="7"/>
  <c r="J208" i="7"/>
  <c r="E208" i="7"/>
  <c r="J207" i="7"/>
  <c r="I207" i="7"/>
  <c r="H207" i="7"/>
  <c r="F207" i="7"/>
  <c r="V207" i="7"/>
  <c r="T207" i="7"/>
  <c r="R207" i="7"/>
  <c r="U207" i="7"/>
  <c r="S207" i="7"/>
  <c r="Q207" i="7"/>
  <c r="E207" i="7"/>
  <c r="D207" i="7"/>
  <c r="C207" i="7"/>
  <c r="B207" i="7"/>
  <c r="J206" i="7"/>
  <c r="I206" i="7"/>
  <c r="H206" i="7"/>
  <c r="G206" i="7"/>
  <c r="F206" i="7"/>
  <c r="J205" i="7"/>
  <c r="I205" i="7"/>
  <c r="H205" i="7"/>
  <c r="G205" i="7"/>
  <c r="F205" i="7"/>
  <c r="J204" i="7"/>
  <c r="I204" i="7"/>
  <c r="H204" i="7"/>
  <c r="G204" i="7"/>
  <c r="F204" i="7"/>
  <c r="J203" i="7"/>
  <c r="I203" i="7"/>
  <c r="H203" i="7"/>
  <c r="G203" i="7"/>
  <c r="F203" i="7"/>
  <c r="C202" i="7"/>
  <c r="V201" i="7"/>
  <c r="T201" i="7"/>
  <c r="R201" i="7"/>
  <c r="U201" i="7"/>
  <c r="S201" i="7"/>
  <c r="Q201" i="7"/>
  <c r="E201" i="7"/>
  <c r="D201" i="7"/>
  <c r="C201" i="7"/>
  <c r="B201" i="7"/>
  <c r="K199" i="7"/>
  <c r="H199" i="7"/>
  <c r="G199" i="7"/>
  <c r="E199" i="7"/>
  <c r="E198" i="7"/>
  <c r="E197" i="7"/>
  <c r="J196" i="7"/>
  <c r="I196" i="7"/>
  <c r="H196" i="7"/>
  <c r="G196" i="7"/>
  <c r="F196" i="7"/>
  <c r="V195" i="7"/>
  <c r="T195" i="7"/>
  <c r="J198" i="7" s="1"/>
  <c r="R195" i="7"/>
  <c r="J197" i="7" s="1"/>
  <c r="U195" i="7"/>
  <c r="S195" i="7"/>
  <c r="Q195" i="7"/>
  <c r="E195" i="7"/>
  <c r="D195" i="7"/>
  <c r="C195" i="7"/>
  <c r="B195" i="7"/>
  <c r="K193" i="7"/>
  <c r="H193" i="7"/>
  <c r="G193" i="7"/>
  <c r="E193" i="7"/>
  <c r="J192" i="7"/>
  <c r="E192" i="7"/>
  <c r="J191" i="7"/>
  <c r="E191" i="7"/>
  <c r="J190" i="7"/>
  <c r="I190" i="7"/>
  <c r="H190" i="7"/>
  <c r="G190" i="7"/>
  <c r="F190" i="7"/>
  <c r="J189" i="7"/>
  <c r="I194" i="7" s="1"/>
  <c r="I189" i="7"/>
  <c r="H189" i="7"/>
  <c r="G189" i="7"/>
  <c r="F189" i="7"/>
  <c r="V188" i="7"/>
  <c r="T188" i="7"/>
  <c r="R188" i="7"/>
  <c r="U188" i="7"/>
  <c r="S188" i="7"/>
  <c r="Q188" i="7"/>
  <c r="E188" i="7"/>
  <c r="D188" i="7"/>
  <c r="C188" i="7"/>
  <c r="B188" i="7"/>
  <c r="K186" i="7"/>
  <c r="H186" i="7"/>
  <c r="G186" i="7"/>
  <c r="E186" i="7"/>
  <c r="J185" i="7"/>
  <c r="E185" i="7"/>
  <c r="E184" i="7"/>
  <c r="J183" i="7"/>
  <c r="I183" i="7"/>
  <c r="H183" i="7"/>
  <c r="G183" i="7"/>
  <c r="F183" i="7"/>
  <c r="J182" i="7"/>
  <c r="I182" i="7"/>
  <c r="H182" i="7"/>
  <c r="G182" i="7"/>
  <c r="F182" i="7"/>
  <c r="V181" i="7"/>
  <c r="T181" i="7"/>
  <c r="R181" i="7"/>
  <c r="J184" i="7" s="1"/>
  <c r="I187" i="7" s="1"/>
  <c r="U181" i="7"/>
  <c r="S181" i="7"/>
  <c r="Q181" i="7"/>
  <c r="E181" i="7"/>
  <c r="D181" i="7"/>
  <c r="C181" i="7"/>
  <c r="B181" i="7"/>
  <c r="K179" i="7"/>
  <c r="H179" i="7"/>
  <c r="G179" i="7"/>
  <c r="E179" i="7"/>
  <c r="E178" i="7"/>
  <c r="E177" i="7"/>
  <c r="J176" i="7"/>
  <c r="I176" i="7"/>
  <c r="H176" i="7"/>
  <c r="F176" i="7"/>
  <c r="V176" i="7"/>
  <c r="T176" i="7"/>
  <c r="R176" i="7"/>
  <c r="U176" i="7"/>
  <c r="S176" i="7"/>
  <c r="Q176" i="7"/>
  <c r="E176" i="7"/>
  <c r="D176" i="7"/>
  <c r="C176" i="7"/>
  <c r="B176" i="7"/>
  <c r="J175" i="7"/>
  <c r="I175" i="7"/>
  <c r="H175" i="7"/>
  <c r="G175" i="7"/>
  <c r="F175" i="7"/>
  <c r="J174" i="7"/>
  <c r="I174" i="7"/>
  <c r="H174" i="7"/>
  <c r="G174" i="7"/>
  <c r="F174" i="7"/>
  <c r="V173" i="7"/>
  <c r="T173" i="7"/>
  <c r="J178" i="7" s="1"/>
  <c r="R173" i="7"/>
  <c r="J177" i="7" s="1"/>
  <c r="U173" i="7"/>
  <c r="S173" i="7"/>
  <c r="Q173" i="7"/>
  <c r="E173" i="7"/>
  <c r="D173" i="7"/>
  <c r="C173" i="7"/>
  <c r="B173" i="7"/>
  <c r="E171" i="7"/>
  <c r="J170" i="7"/>
  <c r="I170" i="7"/>
  <c r="H170" i="7"/>
  <c r="F170" i="7"/>
  <c r="V170" i="7"/>
  <c r="T170" i="7"/>
  <c r="R170" i="7"/>
  <c r="U170" i="7"/>
  <c r="S170" i="7"/>
  <c r="Q170" i="7"/>
  <c r="E170" i="7"/>
  <c r="D170" i="7"/>
  <c r="C170" i="7"/>
  <c r="B170" i="7"/>
  <c r="J169" i="7"/>
  <c r="I169" i="7"/>
  <c r="H169" i="7"/>
  <c r="G169" i="7"/>
  <c r="F169" i="7"/>
  <c r="J168" i="7"/>
  <c r="I168" i="7"/>
  <c r="H168" i="7"/>
  <c r="G168" i="7"/>
  <c r="F168" i="7"/>
  <c r="J167" i="7"/>
  <c r="I167" i="7"/>
  <c r="H167" i="7"/>
  <c r="G167" i="7"/>
  <c r="F167" i="7"/>
  <c r="C166" i="7"/>
  <c r="V165" i="7"/>
  <c r="J171" i="7" s="1"/>
  <c r="T165" i="7"/>
  <c r="R165" i="7"/>
  <c r="U165" i="7"/>
  <c r="S165" i="7"/>
  <c r="Q165" i="7"/>
  <c r="E165" i="7"/>
  <c r="D165" i="7"/>
  <c r="C165" i="7"/>
  <c r="B165" i="7"/>
  <c r="K163" i="7"/>
  <c r="H163" i="7"/>
  <c r="G163" i="7"/>
  <c r="E163" i="7"/>
  <c r="E162" i="7"/>
  <c r="J161" i="7"/>
  <c r="E161" i="7"/>
  <c r="J160" i="7"/>
  <c r="I160" i="7"/>
  <c r="H160" i="7"/>
  <c r="G160" i="7"/>
  <c r="F160" i="7"/>
  <c r="C159" i="7"/>
  <c r="V158" i="7"/>
  <c r="T158" i="7"/>
  <c r="J162" i="7" s="1"/>
  <c r="R158" i="7"/>
  <c r="U158" i="7"/>
  <c r="S158" i="7"/>
  <c r="Q158" i="7"/>
  <c r="E158" i="7"/>
  <c r="D158" i="7"/>
  <c r="C158" i="7"/>
  <c r="B158" i="7"/>
  <c r="E156" i="7"/>
  <c r="J155" i="7"/>
  <c r="I155" i="7"/>
  <c r="H155" i="7"/>
  <c r="F155" i="7"/>
  <c r="V155" i="7"/>
  <c r="T155" i="7"/>
  <c r="R155" i="7"/>
  <c r="U155" i="7"/>
  <c r="S155" i="7"/>
  <c r="Q155" i="7"/>
  <c r="E155" i="7"/>
  <c r="D155" i="7"/>
  <c r="C155" i="7"/>
  <c r="B155" i="7"/>
  <c r="J154" i="7"/>
  <c r="I154" i="7"/>
  <c r="H154" i="7"/>
  <c r="G154" i="7"/>
  <c r="F154" i="7"/>
  <c r="J153" i="7"/>
  <c r="I153" i="7"/>
  <c r="H153" i="7"/>
  <c r="G153" i="7"/>
  <c r="F153" i="7"/>
  <c r="J152" i="7"/>
  <c r="I152" i="7"/>
  <c r="H152" i="7"/>
  <c r="G152" i="7"/>
  <c r="F152" i="7"/>
  <c r="C151" i="7"/>
  <c r="V150" i="7"/>
  <c r="J156" i="7" s="1"/>
  <c r="T150" i="7"/>
  <c r="R150" i="7"/>
  <c r="U150" i="7"/>
  <c r="S150" i="7"/>
  <c r="Q150" i="7"/>
  <c r="E150" i="7"/>
  <c r="D150" i="7"/>
  <c r="C150" i="7"/>
  <c r="B150" i="7"/>
  <c r="A149" i="7"/>
  <c r="K143" i="7"/>
  <c r="H143" i="7"/>
  <c r="G143" i="7"/>
  <c r="E143" i="7"/>
  <c r="J142" i="7"/>
  <c r="E142" i="7"/>
  <c r="E141" i="7"/>
  <c r="J140" i="7"/>
  <c r="I140" i="7"/>
  <c r="H140" i="7"/>
  <c r="G140" i="7"/>
  <c r="F140" i="7"/>
  <c r="V139" i="7"/>
  <c r="T139" i="7"/>
  <c r="R139" i="7"/>
  <c r="J141" i="7" s="1"/>
  <c r="I144" i="7" s="1"/>
  <c r="U139" i="7"/>
  <c r="S139" i="7"/>
  <c r="Q139" i="7"/>
  <c r="E139" i="7"/>
  <c r="D139" i="7"/>
  <c r="C139" i="7"/>
  <c r="B139" i="7"/>
  <c r="K137" i="7"/>
  <c r="H137" i="7"/>
  <c r="G137" i="7"/>
  <c r="E137" i="7"/>
  <c r="E136" i="7"/>
  <c r="E135" i="7"/>
  <c r="J134" i="7"/>
  <c r="I134" i="7"/>
  <c r="H134" i="7"/>
  <c r="G134" i="7"/>
  <c r="F134" i="7"/>
  <c r="V133" i="7"/>
  <c r="T133" i="7"/>
  <c r="J136" i="7" s="1"/>
  <c r="R133" i="7"/>
  <c r="J135" i="7" s="1"/>
  <c r="I138" i="7" s="1"/>
  <c r="U133" i="7"/>
  <c r="S133" i="7"/>
  <c r="Q133" i="7"/>
  <c r="E133" i="7"/>
  <c r="D133" i="7"/>
  <c r="C133" i="7"/>
  <c r="B133" i="7"/>
  <c r="K131" i="7"/>
  <c r="H131" i="7"/>
  <c r="G131" i="7"/>
  <c r="E131" i="7"/>
  <c r="E130" i="7"/>
  <c r="J129" i="7"/>
  <c r="E129" i="7"/>
  <c r="J128" i="7"/>
  <c r="I128" i="7"/>
  <c r="H128" i="7"/>
  <c r="G128" i="7"/>
  <c r="F128" i="7"/>
  <c r="J127" i="7"/>
  <c r="I127" i="7"/>
  <c r="H127" i="7"/>
  <c r="G127" i="7"/>
  <c r="F127" i="7"/>
  <c r="V126" i="7"/>
  <c r="T126" i="7"/>
  <c r="J130" i="7" s="1"/>
  <c r="R126" i="7"/>
  <c r="U126" i="7"/>
  <c r="S126" i="7"/>
  <c r="Q126" i="7"/>
  <c r="E126" i="7"/>
  <c r="D126" i="7"/>
  <c r="C126" i="7"/>
  <c r="B126" i="7"/>
  <c r="K124" i="7"/>
  <c r="H124" i="7"/>
  <c r="G124" i="7"/>
  <c r="E124" i="7"/>
  <c r="J123" i="7"/>
  <c r="E123" i="7"/>
  <c r="J122" i="7"/>
  <c r="E122" i="7"/>
  <c r="J121" i="7"/>
  <c r="I125" i="7" s="1"/>
  <c r="I121" i="7"/>
  <c r="H121" i="7"/>
  <c r="G121" i="7"/>
  <c r="F121" i="7"/>
  <c r="V120" i="7"/>
  <c r="T120" i="7"/>
  <c r="R120" i="7"/>
  <c r="U120" i="7"/>
  <c r="S120" i="7"/>
  <c r="Q120" i="7"/>
  <c r="E120" i="7"/>
  <c r="D120" i="7"/>
  <c r="C120" i="7"/>
  <c r="B120" i="7"/>
  <c r="K118" i="7"/>
  <c r="H118" i="7"/>
  <c r="G118" i="7"/>
  <c r="E118" i="7"/>
  <c r="J117" i="7"/>
  <c r="E117" i="7"/>
  <c r="J116" i="7"/>
  <c r="I119" i="7" s="1"/>
  <c r="E116" i="7"/>
  <c r="J115" i="7"/>
  <c r="I115" i="7"/>
  <c r="H115" i="7"/>
  <c r="G115" i="7"/>
  <c r="F115" i="7"/>
  <c r="C114" i="7"/>
  <c r="V113" i="7"/>
  <c r="T113" i="7"/>
  <c r="R113" i="7"/>
  <c r="U113" i="7"/>
  <c r="S113" i="7"/>
  <c r="Q113" i="7"/>
  <c r="E113" i="7"/>
  <c r="D113" i="7"/>
  <c r="C113" i="7"/>
  <c r="B113" i="7"/>
  <c r="K111" i="7"/>
  <c r="H111" i="7"/>
  <c r="G111" i="7"/>
  <c r="E111" i="7"/>
  <c r="E110" i="7"/>
  <c r="E109" i="7"/>
  <c r="J108" i="7"/>
  <c r="I108" i="7"/>
  <c r="H108" i="7"/>
  <c r="G108" i="7"/>
  <c r="F108" i="7"/>
  <c r="C107" i="7"/>
  <c r="V106" i="7"/>
  <c r="T106" i="7"/>
  <c r="J110" i="7" s="1"/>
  <c r="R106" i="7"/>
  <c r="J109" i="7" s="1"/>
  <c r="I112" i="7" s="1"/>
  <c r="U106" i="7"/>
  <c r="S106" i="7"/>
  <c r="Q106" i="7"/>
  <c r="E106" i="7"/>
  <c r="D106" i="7"/>
  <c r="C106" i="7"/>
  <c r="B106" i="7"/>
  <c r="E104" i="7"/>
  <c r="J103" i="7"/>
  <c r="I103" i="7"/>
  <c r="H103" i="7"/>
  <c r="G103" i="7"/>
  <c r="F103" i="7"/>
  <c r="J102" i="7"/>
  <c r="I102" i="7"/>
  <c r="H102" i="7"/>
  <c r="G102" i="7"/>
  <c r="F102" i="7"/>
  <c r="V101" i="7"/>
  <c r="J104" i="7" s="1"/>
  <c r="T101" i="7"/>
  <c r="R101" i="7"/>
  <c r="U101" i="7"/>
  <c r="S101" i="7"/>
  <c r="Q101" i="7"/>
  <c r="E101" i="7"/>
  <c r="D101" i="7"/>
  <c r="C101" i="7"/>
  <c r="B101" i="7"/>
  <c r="K99" i="7"/>
  <c r="H99" i="7"/>
  <c r="G99" i="7"/>
  <c r="E99" i="7"/>
  <c r="J98" i="7"/>
  <c r="E98" i="7"/>
  <c r="J97" i="7"/>
  <c r="E97" i="7"/>
  <c r="J96" i="7"/>
  <c r="E96" i="7"/>
  <c r="J95" i="7"/>
  <c r="I95" i="7"/>
  <c r="H95" i="7"/>
  <c r="G95" i="7"/>
  <c r="F95" i="7"/>
  <c r="J94" i="7"/>
  <c r="I100" i="7" s="1"/>
  <c r="I94" i="7"/>
  <c r="H94" i="7"/>
  <c r="G94" i="7"/>
  <c r="F94" i="7"/>
  <c r="J93" i="7"/>
  <c r="I93" i="7"/>
  <c r="H93" i="7"/>
  <c r="G93" i="7"/>
  <c r="F93" i="7"/>
  <c r="V92" i="7"/>
  <c r="T92" i="7"/>
  <c r="R92" i="7"/>
  <c r="U92" i="7"/>
  <c r="S92" i="7"/>
  <c r="Q92" i="7"/>
  <c r="E92" i="7"/>
  <c r="D92" i="7"/>
  <c r="C92" i="7"/>
  <c r="B92" i="7"/>
  <c r="K90" i="7"/>
  <c r="H90" i="7"/>
  <c r="G90" i="7"/>
  <c r="E90" i="7"/>
  <c r="E89" i="7"/>
  <c r="E88" i="7"/>
  <c r="J87" i="7"/>
  <c r="I87" i="7"/>
  <c r="H87" i="7"/>
  <c r="G87" i="7"/>
  <c r="F87" i="7"/>
  <c r="C86" i="7"/>
  <c r="V85" i="7"/>
  <c r="T85" i="7"/>
  <c r="J89" i="7" s="1"/>
  <c r="R85" i="7"/>
  <c r="J88" i="7" s="1"/>
  <c r="I91" i="7" s="1"/>
  <c r="U85" i="7"/>
  <c r="S85" i="7"/>
  <c r="Q85" i="7"/>
  <c r="E85" i="7"/>
  <c r="D85" i="7"/>
  <c r="C85" i="7"/>
  <c r="B85" i="7"/>
  <c r="K83" i="7"/>
  <c r="H83" i="7"/>
  <c r="G83" i="7"/>
  <c r="E83" i="7"/>
  <c r="J82" i="7"/>
  <c r="E82" i="7"/>
  <c r="J81" i="7"/>
  <c r="E81" i="7"/>
  <c r="J80" i="7"/>
  <c r="I80" i="7"/>
  <c r="H80" i="7"/>
  <c r="G80" i="7"/>
  <c r="F80" i="7"/>
  <c r="J79" i="7"/>
  <c r="I84" i="7" s="1"/>
  <c r="I79" i="7"/>
  <c r="H79" i="7"/>
  <c r="G79" i="7"/>
  <c r="F79" i="7"/>
  <c r="C78" i="7"/>
  <c r="V77" i="7"/>
  <c r="T77" i="7"/>
  <c r="R77" i="7"/>
  <c r="U77" i="7"/>
  <c r="S77" i="7"/>
  <c r="Q77" i="7"/>
  <c r="E77" i="7"/>
  <c r="D77" i="7"/>
  <c r="C77" i="7"/>
  <c r="B77" i="7"/>
  <c r="K75" i="7"/>
  <c r="H75" i="7"/>
  <c r="G75" i="7"/>
  <c r="E75" i="7"/>
  <c r="J74" i="7"/>
  <c r="E74" i="7"/>
  <c r="J73" i="7"/>
  <c r="E73" i="7"/>
  <c r="E72" i="7"/>
  <c r="J71" i="7"/>
  <c r="I71" i="7"/>
  <c r="H71" i="7"/>
  <c r="G71" i="7"/>
  <c r="F71" i="7"/>
  <c r="J70" i="7"/>
  <c r="I70" i="7"/>
  <c r="H70" i="7"/>
  <c r="G70" i="7"/>
  <c r="F70" i="7"/>
  <c r="J69" i="7"/>
  <c r="I69" i="7"/>
  <c r="H69" i="7"/>
  <c r="G69" i="7"/>
  <c r="F69" i="7"/>
  <c r="J68" i="7"/>
  <c r="I68" i="7"/>
  <c r="H68" i="7"/>
  <c r="G68" i="7"/>
  <c r="F68" i="7"/>
  <c r="C67" i="7"/>
  <c r="V66" i="7"/>
  <c r="T66" i="7"/>
  <c r="R66" i="7"/>
  <c r="J72" i="7" s="1"/>
  <c r="U66" i="7"/>
  <c r="S66" i="7"/>
  <c r="Q66" i="7"/>
  <c r="E66" i="7"/>
  <c r="D66" i="7"/>
  <c r="C66" i="7"/>
  <c r="B66" i="7"/>
  <c r="K64" i="7"/>
  <c r="H64" i="7"/>
  <c r="G64" i="7"/>
  <c r="E64" i="7"/>
  <c r="J63" i="7"/>
  <c r="E63" i="7"/>
  <c r="J62" i="7"/>
  <c r="I65" i="7" s="1"/>
  <c r="E62" i="7"/>
  <c r="J61" i="7"/>
  <c r="I61" i="7"/>
  <c r="H61" i="7"/>
  <c r="G61" i="7"/>
  <c r="F61" i="7"/>
  <c r="C60" i="7"/>
  <c r="V59" i="7"/>
  <c r="T59" i="7"/>
  <c r="R59" i="7"/>
  <c r="U59" i="7"/>
  <c r="S59" i="7"/>
  <c r="Q59" i="7"/>
  <c r="E59" i="7"/>
  <c r="D59" i="7"/>
  <c r="C59" i="7"/>
  <c r="B59" i="7"/>
  <c r="J57" i="7"/>
  <c r="I58" i="7" s="1"/>
  <c r="E57" i="7"/>
  <c r="J56" i="7"/>
  <c r="I56" i="7"/>
  <c r="H56" i="7"/>
  <c r="F56" i="7"/>
  <c r="V56" i="7"/>
  <c r="T56" i="7"/>
  <c r="R56" i="7"/>
  <c r="U56" i="7"/>
  <c r="S56" i="7"/>
  <c r="Q56" i="7"/>
  <c r="E56" i="7"/>
  <c r="D56" i="7"/>
  <c r="C56" i="7"/>
  <c r="B56" i="7"/>
  <c r="J55" i="7"/>
  <c r="I55" i="7"/>
  <c r="H55" i="7"/>
  <c r="G55" i="7"/>
  <c r="F55" i="7"/>
  <c r="J54" i="7"/>
  <c r="I54" i="7"/>
  <c r="H54" i="7"/>
  <c r="G54" i="7"/>
  <c r="F54" i="7"/>
  <c r="J53" i="7"/>
  <c r="I53" i="7"/>
  <c r="H53" i="7"/>
  <c r="G53" i="7"/>
  <c r="F53" i="7"/>
  <c r="C52" i="7"/>
  <c r="V51" i="7"/>
  <c r="T51" i="7"/>
  <c r="R51" i="7"/>
  <c r="U51" i="7"/>
  <c r="S51" i="7"/>
  <c r="Q51" i="7"/>
  <c r="E51" i="7"/>
  <c r="D51" i="7"/>
  <c r="C51" i="7"/>
  <c r="B51" i="7"/>
  <c r="K49" i="7"/>
  <c r="H49" i="7"/>
  <c r="G49" i="7"/>
  <c r="E49" i="7"/>
  <c r="E48" i="7"/>
  <c r="E47" i="7"/>
  <c r="J46" i="7"/>
  <c r="I46" i="7"/>
  <c r="H46" i="7"/>
  <c r="G46" i="7"/>
  <c r="F46" i="7"/>
  <c r="C45" i="7"/>
  <c r="V44" i="7"/>
  <c r="T44" i="7"/>
  <c r="J48" i="7" s="1"/>
  <c r="R44" i="7"/>
  <c r="J47" i="7" s="1"/>
  <c r="I50" i="7" s="1"/>
  <c r="U44" i="7"/>
  <c r="S44" i="7"/>
  <c r="Q44" i="7"/>
  <c r="E44" i="7"/>
  <c r="D44" i="7"/>
  <c r="C44" i="7"/>
  <c r="B44" i="7"/>
  <c r="E42" i="7"/>
  <c r="J41" i="7"/>
  <c r="I41" i="7"/>
  <c r="H41" i="7"/>
  <c r="G41" i="7"/>
  <c r="F41" i="7"/>
  <c r="J40" i="7"/>
  <c r="I40" i="7"/>
  <c r="H40" i="7"/>
  <c r="G40" i="7"/>
  <c r="F40" i="7"/>
  <c r="C39" i="7"/>
  <c r="V38" i="7"/>
  <c r="J42" i="7" s="1"/>
  <c r="T38" i="7"/>
  <c r="R38" i="7"/>
  <c r="U38" i="7"/>
  <c r="S38" i="7"/>
  <c r="Q38" i="7"/>
  <c r="E38" i="7"/>
  <c r="D38" i="7"/>
  <c r="C38" i="7"/>
  <c r="B38" i="7"/>
  <c r="A37" i="7"/>
  <c r="A35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X5" i="3" s="1"/>
  <c r="CU5" i="3"/>
  <c r="CV5" i="3"/>
  <c r="CY5" i="3"/>
  <c r="CZ5" i="3"/>
  <c r="DA5" i="3"/>
  <c r="DB5" i="3"/>
  <c r="DC5" i="3"/>
  <c r="DI5" i="3"/>
  <c r="DJ5" i="3" s="1"/>
  <c r="A6" i="3"/>
  <c r="Y6" i="3"/>
  <c r="CX6" i="3"/>
  <c r="CY6" i="3"/>
  <c r="CZ6" i="3"/>
  <c r="DA6" i="3"/>
  <c r="DB6" i="3"/>
  <c r="DC6" i="3"/>
  <c r="DF6" i="3"/>
  <c r="DI6" i="3"/>
  <c r="DJ6" i="3"/>
  <c r="A7" i="3"/>
  <c r="Y7" i="3"/>
  <c r="CX7" i="3" s="1"/>
  <c r="CY7" i="3"/>
  <c r="CZ7" i="3"/>
  <c r="DB7" i="3" s="1"/>
  <c r="DA7" i="3"/>
  <c r="DC7" i="3"/>
  <c r="A8" i="3"/>
  <c r="Y8" i="3"/>
  <c r="CX8" i="3"/>
  <c r="CY8" i="3"/>
  <c r="CZ8" i="3"/>
  <c r="DA8" i="3"/>
  <c r="DB8" i="3"/>
  <c r="DC8" i="3"/>
  <c r="A9" i="3"/>
  <c r="Y9" i="3"/>
  <c r="CU9" i="3"/>
  <c r="CY9" i="3"/>
  <c r="CZ9" i="3"/>
  <c r="DA9" i="3"/>
  <c r="DB9" i="3"/>
  <c r="DC9" i="3"/>
  <c r="A10" i="3"/>
  <c r="Y10" i="3"/>
  <c r="CX10" i="3"/>
  <c r="CY10" i="3"/>
  <c r="CZ10" i="3"/>
  <c r="DA10" i="3"/>
  <c r="DB10" i="3"/>
  <c r="DC10" i="3"/>
  <c r="A11" i="3"/>
  <c r="Y11" i="3"/>
  <c r="CU11" i="3"/>
  <c r="CV11" i="3"/>
  <c r="CX11" i="3"/>
  <c r="DF11" i="3" s="1"/>
  <c r="CY11" i="3"/>
  <c r="CZ11" i="3"/>
  <c r="DB11" i="3" s="1"/>
  <c r="DA11" i="3"/>
  <c r="DC11" i="3"/>
  <c r="DG11" i="3"/>
  <c r="DH11" i="3"/>
  <c r="DI11" i="3"/>
  <c r="DJ11" i="3"/>
  <c r="A12" i="3"/>
  <c r="Y12" i="3"/>
  <c r="CV12" i="3" s="1"/>
  <c r="CU12" i="3"/>
  <c r="CX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W14" i="3"/>
  <c r="CX14" i="3"/>
  <c r="CY14" i="3"/>
  <c r="CZ14" i="3"/>
  <c r="DB14" i="3" s="1"/>
  <c r="DA14" i="3"/>
  <c r="DC14" i="3"/>
  <c r="A15" i="3"/>
  <c r="Y15" i="3"/>
  <c r="CV15" i="3"/>
  <c r="CX15" i="3"/>
  <c r="CY15" i="3"/>
  <c r="CZ15" i="3"/>
  <c r="DA15" i="3"/>
  <c r="DB15" i="3"/>
  <c r="DC15" i="3"/>
  <c r="DF15" i="3"/>
  <c r="DG15" i="3"/>
  <c r="DH15" i="3"/>
  <c r="DI15" i="3"/>
  <c r="DJ15" i="3" s="1"/>
  <c r="A16" i="3"/>
  <c r="Y16" i="3"/>
  <c r="CY16" i="3"/>
  <c r="CZ16" i="3"/>
  <c r="DB16" i="3" s="1"/>
  <c r="DA16" i="3"/>
  <c r="DC16" i="3"/>
  <c r="A17" i="3"/>
  <c r="Y17" i="3"/>
  <c r="CU17" i="3"/>
  <c r="CV17" i="3"/>
  <c r="CX17" i="3"/>
  <c r="DF17" i="3" s="1"/>
  <c r="CY17" i="3"/>
  <c r="CZ17" i="3"/>
  <c r="DB17" i="3" s="1"/>
  <c r="DA17" i="3"/>
  <c r="DC17" i="3"/>
  <c r="DG17" i="3"/>
  <c r="DH17" i="3"/>
  <c r="DI17" i="3"/>
  <c r="DJ17" i="3" s="1"/>
  <c r="A18" i="3"/>
  <c r="Y18" i="3"/>
  <c r="CU18" i="3"/>
  <c r="CY18" i="3"/>
  <c r="CZ18" i="3"/>
  <c r="DA18" i="3"/>
  <c r="DB18" i="3"/>
  <c r="DC18" i="3"/>
  <c r="A19" i="3"/>
  <c r="Y19" i="3"/>
  <c r="CX19" i="3" s="1"/>
  <c r="CY19" i="3"/>
  <c r="CZ19" i="3"/>
  <c r="DA19" i="3"/>
  <c r="DB19" i="3"/>
  <c r="DC19" i="3"/>
  <c r="DF19" i="3"/>
  <c r="DJ19" i="3" s="1"/>
  <c r="DG19" i="3"/>
  <c r="A20" i="3"/>
  <c r="Y20" i="3"/>
  <c r="CU20" i="3"/>
  <c r="CV20" i="3"/>
  <c r="CX20" i="3"/>
  <c r="CY20" i="3"/>
  <c r="CZ20" i="3"/>
  <c r="DB20" i="3" s="1"/>
  <c r="DA20" i="3"/>
  <c r="DC20" i="3"/>
  <c r="DF20" i="3"/>
  <c r="DG20" i="3"/>
  <c r="A21" i="3"/>
  <c r="Y21" i="3"/>
  <c r="CU21" i="3"/>
  <c r="CV21" i="3"/>
  <c r="CX21" i="3"/>
  <c r="CY21" i="3"/>
  <c r="CZ21" i="3"/>
  <c r="DB21" i="3" s="1"/>
  <c r="DA21" i="3"/>
  <c r="DC21" i="3"/>
  <c r="A22" i="3"/>
  <c r="Y22" i="3"/>
  <c r="CW22" i="3"/>
  <c r="CX22" i="3"/>
  <c r="CY22" i="3"/>
  <c r="CZ22" i="3"/>
  <c r="DA22" i="3"/>
  <c r="DB22" i="3"/>
  <c r="DC22" i="3"/>
  <c r="DF22" i="3"/>
  <c r="DG22" i="3"/>
  <c r="DJ22" i="3" s="1"/>
  <c r="DH22" i="3"/>
  <c r="DI22" i="3"/>
  <c r="A23" i="3"/>
  <c r="Y23" i="3"/>
  <c r="CX23" i="3"/>
  <c r="CY23" i="3"/>
  <c r="CZ23" i="3"/>
  <c r="DA23" i="3"/>
  <c r="DB23" i="3"/>
  <c r="DC23" i="3"/>
  <c r="DH23" i="3"/>
  <c r="DI23" i="3"/>
  <c r="A24" i="3"/>
  <c r="Y24" i="3"/>
  <c r="CV24" i="3" s="1"/>
  <c r="CX24" i="3"/>
  <c r="CY24" i="3"/>
  <c r="CZ24" i="3"/>
  <c r="DA24" i="3"/>
  <c r="DB24" i="3"/>
  <c r="DC24" i="3"/>
  <c r="DF24" i="3"/>
  <c r="DG24" i="3"/>
  <c r="A25" i="3"/>
  <c r="Y25" i="3"/>
  <c r="CY25" i="3"/>
  <c r="CZ25" i="3"/>
  <c r="DA25" i="3"/>
  <c r="DB25" i="3"/>
  <c r="DC25" i="3"/>
  <c r="A26" i="3"/>
  <c r="Y26" i="3"/>
  <c r="CY26" i="3"/>
  <c r="CZ26" i="3"/>
  <c r="DA26" i="3"/>
  <c r="DB26" i="3"/>
  <c r="DC26" i="3"/>
  <c r="A27" i="3"/>
  <c r="Y27" i="3"/>
  <c r="CX27" i="3" s="1"/>
  <c r="CU27" i="3"/>
  <c r="CV27" i="3"/>
  <c r="CY27" i="3"/>
  <c r="CZ27" i="3"/>
  <c r="DA27" i="3"/>
  <c r="DB27" i="3"/>
  <c r="DC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B29" i="3" s="1"/>
  <c r="DA29" i="3"/>
  <c r="DC29" i="3"/>
  <c r="DF29" i="3"/>
  <c r="DJ29" i="3" s="1"/>
  <c r="DG29" i="3"/>
  <c r="DH29" i="3"/>
  <c r="DI29" i="3"/>
  <c r="A30" i="3"/>
  <c r="Y30" i="3"/>
  <c r="CU30" i="3"/>
  <c r="CV30" i="3"/>
  <c r="CX30" i="3"/>
  <c r="CY30" i="3"/>
  <c r="CZ30" i="3"/>
  <c r="DA30" i="3"/>
  <c r="DB30" i="3"/>
  <c r="DC30" i="3"/>
  <c r="DF30" i="3"/>
  <c r="A31" i="3"/>
  <c r="Y31" i="3"/>
  <c r="CX31" i="3"/>
  <c r="CY31" i="3"/>
  <c r="CZ31" i="3"/>
  <c r="DB31" i="3" s="1"/>
  <c r="DA31" i="3"/>
  <c r="DC31" i="3"/>
  <c r="A32" i="3"/>
  <c r="Y32" i="3"/>
  <c r="CU32" i="3"/>
  <c r="CV32" i="3"/>
  <c r="CX32" i="3"/>
  <c r="CY32" i="3"/>
  <c r="CZ32" i="3"/>
  <c r="DB32" i="3" s="1"/>
  <c r="DA32" i="3"/>
  <c r="DC32" i="3"/>
  <c r="DI32" i="3"/>
  <c r="DJ32" i="3"/>
  <c r="A33" i="3"/>
  <c r="Y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X34" i="3"/>
  <c r="CY34" i="3"/>
  <c r="CZ34" i="3"/>
  <c r="DB34" i="3" s="1"/>
  <c r="DA34" i="3"/>
  <c r="DC34" i="3"/>
  <c r="DF34" i="3"/>
  <c r="DJ34" i="3" s="1"/>
  <c r="DG34" i="3"/>
  <c r="A35" i="3"/>
  <c r="Y35" i="3"/>
  <c r="CX35" i="3"/>
  <c r="CY35" i="3"/>
  <c r="CZ35" i="3"/>
  <c r="DA35" i="3"/>
  <c r="DB35" i="3"/>
  <c r="DC35" i="3"/>
  <c r="A36" i="3"/>
  <c r="Y36" i="3"/>
  <c r="CU36" i="3"/>
  <c r="CY36" i="3"/>
  <c r="CZ36" i="3"/>
  <c r="DA36" i="3"/>
  <c r="DB36" i="3"/>
  <c r="DC36" i="3"/>
  <c r="A37" i="3"/>
  <c r="Y37" i="3"/>
  <c r="CU37" i="3"/>
  <c r="CV37" i="3"/>
  <c r="CX37" i="3"/>
  <c r="CY37" i="3"/>
  <c r="CZ37" i="3"/>
  <c r="DA37" i="3"/>
  <c r="DB37" i="3"/>
  <c r="DC37" i="3"/>
  <c r="DF37" i="3"/>
  <c r="A38" i="3"/>
  <c r="Y38" i="3"/>
  <c r="CY38" i="3"/>
  <c r="CZ38" i="3"/>
  <c r="DA38" i="3"/>
  <c r="DB38" i="3"/>
  <c r="DC38" i="3"/>
  <c r="A39" i="3"/>
  <c r="Y39" i="3"/>
  <c r="CW39" i="3"/>
  <c r="CX39" i="3"/>
  <c r="CY39" i="3"/>
  <c r="CZ39" i="3"/>
  <c r="DB39" i="3" s="1"/>
  <c r="DA39" i="3"/>
  <c r="DC39" i="3"/>
  <c r="DG39" i="3"/>
  <c r="DJ39" i="3" s="1"/>
  <c r="A40" i="3"/>
  <c r="Y40" i="3"/>
  <c r="CY40" i="3"/>
  <c r="CZ40" i="3"/>
  <c r="DA40" i="3"/>
  <c r="DB40" i="3"/>
  <c r="DC40" i="3"/>
  <c r="A41" i="3"/>
  <c r="Y41" i="3"/>
  <c r="CV41" i="3"/>
  <c r="CX41" i="3"/>
  <c r="CY41" i="3"/>
  <c r="CZ41" i="3"/>
  <c r="DB41" i="3" s="1"/>
  <c r="DA41" i="3"/>
  <c r="DC41" i="3"/>
  <c r="A42" i="3"/>
  <c r="Y42" i="3"/>
  <c r="CW42" i="3"/>
  <c r="CX42" i="3"/>
  <c r="DF42" i="3" s="1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U44" i="3"/>
  <c r="CV44" i="3"/>
  <c r="CX44" i="3"/>
  <c r="CY44" i="3"/>
  <c r="CZ44" i="3"/>
  <c r="DB44" i="3" s="1"/>
  <c r="DA44" i="3"/>
  <c r="DC44" i="3"/>
  <c r="A45" i="3"/>
  <c r="Y45" i="3"/>
  <c r="CW45" i="3"/>
  <c r="CX45" i="3"/>
  <c r="DF45" i="3" s="1"/>
  <c r="CY45" i="3"/>
  <c r="CZ45" i="3"/>
  <c r="DA45" i="3"/>
  <c r="DB45" i="3"/>
  <c r="DC45" i="3"/>
  <c r="DG45" i="3"/>
  <c r="DH45" i="3"/>
  <c r="DI45" i="3"/>
  <c r="DJ45" i="3"/>
  <c r="A46" i="3"/>
  <c r="Y46" i="3"/>
  <c r="CX46" i="3" s="1"/>
  <c r="CY46" i="3"/>
  <c r="CZ46" i="3"/>
  <c r="DB46" i="3" s="1"/>
  <c r="DA46" i="3"/>
  <c r="DC46" i="3"/>
  <c r="A47" i="3"/>
  <c r="Y47" i="3"/>
  <c r="CU47" i="3"/>
  <c r="CY47" i="3"/>
  <c r="CZ47" i="3"/>
  <c r="DA47" i="3"/>
  <c r="DB47" i="3"/>
  <c r="DC47" i="3"/>
  <c r="A48" i="3"/>
  <c r="Y48" i="3"/>
  <c r="CX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W50" i="3"/>
  <c r="CX50" i="3"/>
  <c r="CY50" i="3"/>
  <c r="CZ50" i="3"/>
  <c r="DA50" i="3"/>
  <c r="DB50" i="3"/>
  <c r="DC50" i="3"/>
  <c r="A51" i="3"/>
  <c r="Y51" i="3"/>
  <c r="CV51" i="3" s="1"/>
  <c r="CU51" i="3"/>
  <c r="CX51" i="3"/>
  <c r="CY51" i="3"/>
  <c r="CZ51" i="3"/>
  <c r="DA51" i="3"/>
  <c r="DB51" i="3"/>
  <c r="DC51" i="3"/>
  <c r="DG51" i="3"/>
  <c r="A52" i="3"/>
  <c r="Y52" i="3"/>
  <c r="CX52" i="3" s="1"/>
  <c r="CW52" i="3"/>
  <c r="CY52" i="3"/>
  <c r="CZ52" i="3"/>
  <c r="DA52" i="3"/>
  <c r="DB52" i="3"/>
  <c r="DC52" i="3"/>
  <c r="A53" i="3"/>
  <c r="Y53" i="3"/>
  <c r="CX53" i="3"/>
  <c r="DF53" i="3" s="1"/>
  <c r="CY53" i="3"/>
  <c r="CZ53" i="3"/>
  <c r="DB53" i="3" s="1"/>
  <c r="DA53" i="3"/>
  <c r="DC53" i="3"/>
  <c r="DG53" i="3"/>
  <c r="DH53" i="3"/>
  <c r="DI53" i="3"/>
  <c r="DJ53" i="3"/>
  <c r="A54" i="3"/>
  <c r="Y54" i="3"/>
  <c r="CY54" i="3"/>
  <c r="CZ54" i="3"/>
  <c r="DB54" i="3" s="1"/>
  <c r="DA54" i="3"/>
  <c r="DC54" i="3"/>
  <c r="A55" i="3"/>
  <c r="Y55" i="3"/>
  <c r="CX55" i="3"/>
  <c r="DI55" i="3" s="1"/>
  <c r="CY55" i="3"/>
  <c r="CZ55" i="3"/>
  <c r="DA55" i="3"/>
  <c r="DB55" i="3"/>
  <c r="DC55" i="3"/>
  <c r="DF55" i="3"/>
  <c r="DJ55" i="3" s="1"/>
  <c r="DG55" i="3"/>
  <c r="DH55" i="3"/>
  <c r="A56" i="3"/>
  <c r="Y56" i="3"/>
  <c r="CV56" i="3" s="1"/>
  <c r="CU56" i="3"/>
  <c r="CX56" i="3"/>
  <c r="CY56" i="3"/>
  <c r="CZ56" i="3"/>
  <c r="DB56" i="3" s="1"/>
  <c r="DA56" i="3"/>
  <c r="DC56" i="3"/>
  <c r="A57" i="3"/>
  <c r="Y57" i="3"/>
  <c r="CW57" i="3"/>
  <c r="CX57" i="3"/>
  <c r="CY57" i="3"/>
  <c r="CZ57" i="3"/>
  <c r="DB57" i="3" s="1"/>
  <c r="DA57" i="3"/>
  <c r="DC57" i="3"/>
  <c r="A58" i="3"/>
  <c r="Y58" i="3"/>
  <c r="CX58" i="3"/>
  <c r="CY58" i="3"/>
  <c r="CZ58" i="3"/>
  <c r="DB58" i="3" s="1"/>
  <c r="DA58" i="3"/>
  <c r="DC58" i="3"/>
  <c r="DF58" i="3"/>
  <c r="DG58" i="3"/>
  <c r="DH58" i="3"/>
  <c r="DI58" i="3"/>
  <c r="DJ58" i="3"/>
  <c r="A59" i="3"/>
  <c r="Y59" i="3"/>
  <c r="CX59" i="3" s="1"/>
  <c r="CU59" i="3"/>
  <c r="CV59" i="3"/>
  <c r="CY59" i="3"/>
  <c r="CZ59" i="3"/>
  <c r="DA59" i="3"/>
  <c r="DB59" i="3"/>
  <c r="DC59" i="3"/>
  <c r="DH59" i="3"/>
  <c r="DI59" i="3"/>
  <c r="DJ59" i="3"/>
  <c r="A60" i="3"/>
  <c r="Y60" i="3"/>
  <c r="CX60" i="3" s="1"/>
  <c r="CY60" i="3"/>
  <c r="CZ60" i="3"/>
  <c r="DB60" i="3" s="1"/>
  <c r="DA60" i="3"/>
  <c r="DC60" i="3"/>
  <c r="A61" i="3"/>
  <c r="Y61" i="3"/>
  <c r="CX61" i="3" s="1"/>
  <c r="CU61" i="3"/>
  <c r="CV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W62" i="3"/>
  <c r="CX62" i="3"/>
  <c r="CY62" i="3"/>
  <c r="CZ62" i="3"/>
  <c r="DA62" i="3"/>
  <c r="DB62" i="3"/>
  <c r="DC62" i="3"/>
  <c r="A63" i="3"/>
  <c r="Y63" i="3"/>
  <c r="CX63" i="3"/>
  <c r="CY63" i="3"/>
  <c r="CZ63" i="3"/>
  <c r="DA63" i="3"/>
  <c r="DB63" i="3"/>
  <c r="DC63" i="3"/>
  <c r="DF63" i="3"/>
  <c r="DJ63" i="3" s="1"/>
  <c r="DG63" i="3"/>
  <c r="DH63" i="3"/>
  <c r="DI63" i="3"/>
  <c r="A64" i="3"/>
  <c r="Y64" i="3"/>
  <c r="CU64" i="3"/>
  <c r="CV64" i="3"/>
  <c r="CX64" i="3"/>
  <c r="CY64" i="3"/>
  <c r="CZ64" i="3"/>
  <c r="DA64" i="3"/>
  <c r="DB64" i="3"/>
  <c r="DC64" i="3"/>
  <c r="DH64" i="3"/>
  <c r="DI64" i="3"/>
  <c r="DJ64" i="3"/>
  <c r="A65" i="3"/>
  <c r="Y65" i="3"/>
  <c r="CU65" i="3"/>
  <c r="CV65" i="3"/>
  <c r="CX65" i="3"/>
  <c r="CY65" i="3"/>
  <c r="CZ65" i="3"/>
  <c r="DB65" i="3" s="1"/>
  <c r="DA65" i="3"/>
  <c r="DC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 s="1"/>
  <c r="CY67" i="3"/>
  <c r="CZ67" i="3"/>
  <c r="DB67" i="3" s="1"/>
  <c r="DA67" i="3"/>
  <c r="DC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Y69" i="3"/>
  <c r="CZ69" i="3"/>
  <c r="DB69" i="3" s="1"/>
  <c r="DA69" i="3"/>
  <c r="DC69" i="3"/>
  <c r="A70" i="3"/>
  <c r="Y70" i="3"/>
  <c r="CU70" i="3"/>
  <c r="CV70" i="3"/>
  <c r="CX70" i="3"/>
  <c r="CY70" i="3"/>
  <c r="CZ70" i="3"/>
  <c r="DA70" i="3"/>
  <c r="DB70" i="3"/>
  <c r="DC70" i="3"/>
  <c r="DG70" i="3"/>
  <c r="A71" i="3"/>
  <c r="Y71" i="3"/>
  <c r="CW71" i="3"/>
  <c r="CX71" i="3"/>
  <c r="CY71" i="3"/>
  <c r="CZ71" i="3"/>
  <c r="DB71" i="3" s="1"/>
  <c r="DA71" i="3"/>
  <c r="DC71" i="3"/>
  <c r="DH71" i="3"/>
  <c r="DI71" i="3"/>
  <c r="A72" i="3"/>
  <c r="Y72" i="3"/>
  <c r="CX72" i="3" s="1"/>
  <c r="CY72" i="3"/>
  <c r="CZ72" i="3"/>
  <c r="DB72" i="3" s="1"/>
  <c r="DA72" i="3"/>
  <c r="DC72" i="3"/>
  <c r="DF72" i="3"/>
  <c r="DI72" i="3"/>
  <c r="DJ72" i="3"/>
  <c r="D12" i="1"/>
  <c r="D18" i="1"/>
  <c r="E18" i="1"/>
  <c r="F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B22" i="1"/>
  <c r="C22" i="1"/>
  <c r="D22" i="1"/>
  <c r="E22" i="1"/>
  <c r="F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D26" i="1"/>
  <c r="E26" i="1"/>
  <c r="F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B30" i="1"/>
  <c r="C30" i="1"/>
  <c r="E30" i="1"/>
  <c r="Z30" i="1"/>
  <c r="AA30" i="1"/>
  <c r="AM30" i="1"/>
  <c r="AN30" i="1"/>
  <c r="AP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Y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K32" i="1"/>
  <c r="P32" i="1"/>
  <c r="U32" i="1"/>
  <c r="V32" i="1"/>
  <c r="W32" i="1"/>
  <c r="AC32" i="1"/>
  <c r="AE32" i="1"/>
  <c r="AD32" i="1" s="1"/>
  <c r="AF32" i="1"/>
  <c r="AG32" i="1"/>
  <c r="CU32" i="1" s="1"/>
  <c r="AH32" i="1"/>
  <c r="CV32" i="1" s="1"/>
  <c r="AI32" i="1"/>
  <c r="AJ32" i="1"/>
  <c r="CX32" i="1" s="1"/>
  <c r="CQ32" i="1"/>
  <c r="CR32" i="1"/>
  <c r="CS32" i="1"/>
  <c r="CT32" i="1"/>
  <c r="CW32" i="1"/>
  <c r="GL32" i="1"/>
  <c r="GN32" i="1"/>
  <c r="GO32" i="1"/>
  <c r="GV32" i="1"/>
  <c r="HC32" i="1"/>
  <c r="C33" i="1"/>
  <c r="D33" i="1"/>
  <c r="I33" i="1"/>
  <c r="CU2" i="3" s="1"/>
  <c r="K33" i="1"/>
  <c r="AC33" i="1"/>
  <c r="CQ33" i="1" s="1"/>
  <c r="P33" i="1" s="1"/>
  <c r="AE33" i="1"/>
  <c r="AF33" i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CT33" i="1"/>
  <c r="S33" i="1" s="1"/>
  <c r="GL33" i="1"/>
  <c r="GN33" i="1"/>
  <c r="GO33" i="1"/>
  <c r="GV33" i="1"/>
  <c r="HC33" i="1"/>
  <c r="GX33" i="1" s="1"/>
  <c r="C34" i="1"/>
  <c r="D34" i="1"/>
  <c r="I34" i="1"/>
  <c r="CX4" i="3" s="1"/>
  <c r="K34" i="1"/>
  <c r="P34" i="1"/>
  <c r="W34" i="1"/>
  <c r="AC34" i="1"/>
  <c r="AE34" i="1"/>
  <c r="AF34" i="1"/>
  <c r="AG34" i="1"/>
  <c r="CU34" i="1" s="1"/>
  <c r="AH34" i="1"/>
  <c r="CV34" i="1" s="1"/>
  <c r="AI34" i="1"/>
  <c r="AJ34" i="1"/>
  <c r="CQ34" i="1"/>
  <c r="CT34" i="1"/>
  <c r="CW34" i="1"/>
  <c r="CX34" i="1"/>
  <c r="GL34" i="1"/>
  <c r="GN34" i="1"/>
  <c r="GO34" i="1"/>
  <c r="GV34" i="1"/>
  <c r="HC34" i="1"/>
  <c r="GX34" i="1" s="1"/>
  <c r="I35" i="1"/>
  <c r="AC35" i="1"/>
  <c r="AB35" i="1" s="1"/>
  <c r="AD35" i="1"/>
  <c r="AE35" i="1"/>
  <c r="AF35" i="1"/>
  <c r="AG35" i="1"/>
  <c r="AH35" i="1"/>
  <c r="AI35" i="1"/>
  <c r="AJ35" i="1"/>
  <c r="CX35" i="1" s="1"/>
  <c r="CQ35" i="1"/>
  <c r="P35" i="1" s="1"/>
  <c r="CR35" i="1"/>
  <c r="CS35" i="1"/>
  <c r="CT35" i="1"/>
  <c r="CU35" i="1"/>
  <c r="CV35" i="1"/>
  <c r="CW35" i="1"/>
  <c r="GL35" i="1"/>
  <c r="GN35" i="1"/>
  <c r="GO35" i="1"/>
  <c r="GV35" i="1"/>
  <c r="HC35" i="1" s="1"/>
  <c r="C36" i="1"/>
  <c r="D36" i="1"/>
  <c r="I36" i="1"/>
  <c r="K36" i="1"/>
  <c r="P36" i="1"/>
  <c r="S36" i="1"/>
  <c r="T36" i="1"/>
  <c r="W36" i="1"/>
  <c r="AC36" i="1"/>
  <c r="CQ36" i="1" s="1"/>
  <c r="AE36" i="1"/>
  <c r="AF36" i="1"/>
  <c r="CT36" i="1" s="1"/>
  <c r="AG36" i="1"/>
  <c r="CU36" i="1" s="1"/>
  <c r="AH36" i="1"/>
  <c r="CV36" i="1" s="1"/>
  <c r="U36" i="1" s="1"/>
  <c r="AI36" i="1"/>
  <c r="AJ36" i="1"/>
  <c r="CX36" i="1" s="1"/>
  <c r="CW36" i="1"/>
  <c r="V36" i="1" s="1"/>
  <c r="GL36" i="1"/>
  <c r="GN36" i="1"/>
  <c r="GO36" i="1"/>
  <c r="GV36" i="1"/>
  <c r="HC36" i="1"/>
  <c r="GX36" i="1" s="1"/>
  <c r="C37" i="1"/>
  <c r="D37" i="1"/>
  <c r="I37" i="1"/>
  <c r="K37" i="1"/>
  <c r="AC37" i="1"/>
  <c r="AE37" i="1"/>
  <c r="AD37" i="1" s="1"/>
  <c r="AF37" i="1"/>
  <c r="AG37" i="1"/>
  <c r="AH37" i="1"/>
  <c r="AI37" i="1"/>
  <c r="CW37" i="1" s="1"/>
  <c r="V37" i="1" s="1"/>
  <c r="AJ37" i="1"/>
  <c r="CX37" i="1" s="1"/>
  <c r="W37" i="1" s="1"/>
  <c r="CQ37" i="1"/>
  <c r="P37" i="1" s="1"/>
  <c r="CP37" i="1" s="1"/>
  <c r="O37" i="1" s="1"/>
  <c r="CR37" i="1"/>
  <c r="Q37" i="1" s="1"/>
  <c r="CS37" i="1"/>
  <c r="R37" i="1" s="1"/>
  <c r="GK37" i="1" s="1"/>
  <c r="CT37" i="1"/>
  <c r="S37" i="1" s="1"/>
  <c r="CU37" i="1"/>
  <c r="T37" i="1" s="1"/>
  <c r="CV37" i="1"/>
  <c r="U37" i="1" s="1"/>
  <c r="GL37" i="1"/>
  <c r="GN37" i="1"/>
  <c r="GO37" i="1"/>
  <c r="GV37" i="1"/>
  <c r="HC37" i="1"/>
  <c r="GX37" i="1" s="1"/>
  <c r="C38" i="1"/>
  <c r="D38" i="1"/>
  <c r="I38" i="1"/>
  <c r="K38" i="1"/>
  <c r="W38" i="1"/>
  <c r="AC38" i="1"/>
  <c r="CQ38" i="1" s="1"/>
  <c r="P38" i="1" s="1"/>
  <c r="AE38" i="1"/>
  <c r="AF38" i="1"/>
  <c r="CT38" i="1" s="1"/>
  <c r="S38" i="1" s="1"/>
  <c r="AG38" i="1"/>
  <c r="CU38" i="1" s="1"/>
  <c r="T38" i="1" s="1"/>
  <c r="AH38" i="1"/>
  <c r="AI38" i="1"/>
  <c r="AJ38" i="1"/>
  <c r="CX38" i="1" s="1"/>
  <c r="CV38" i="1"/>
  <c r="U38" i="1" s="1"/>
  <c r="CW38" i="1"/>
  <c r="V38" i="1" s="1"/>
  <c r="GL38" i="1"/>
  <c r="GN38" i="1"/>
  <c r="GO38" i="1"/>
  <c r="GV38" i="1"/>
  <c r="HC38" i="1"/>
  <c r="GX38" i="1" s="1"/>
  <c r="C39" i="1"/>
  <c r="D39" i="1"/>
  <c r="I39" i="1"/>
  <c r="K39" i="1"/>
  <c r="R39" i="1"/>
  <c r="AC39" i="1"/>
  <c r="AE39" i="1"/>
  <c r="AD39" i="1" s="1"/>
  <c r="AF39" i="1"/>
  <c r="CT39" i="1" s="1"/>
  <c r="S39" i="1" s="1"/>
  <c r="CY39" i="1" s="1"/>
  <c r="X39" i="1" s="1"/>
  <c r="AG39" i="1"/>
  <c r="CU39" i="1" s="1"/>
  <c r="T39" i="1" s="1"/>
  <c r="AH39" i="1"/>
  <c r="CV39" i="1" s="1"/>
  <c r="U39" i="1" s="1"/>
  <c r="AI39" i="1"/>
  <c r="CW39" i="1" s="1"/>
  <c r="V39" i="1" s="1"/>
  <c r="AJ39" i="1"/>
  <c r="CX39" i="1" s="1"/>
  <c r="W39" i="1" s="1"/>
  <c r="CQ39" i="1"/>
  <c r="P39" i="1" s="1"/>
  <c r="CP39" i="1" s="1"/>
  <c r="O39" i="1" s="1"/>
  <c r="CR39" i="1"/>
  <c r="Q39" i="1" s="1"/>
  <c r="CS39" i="1"/>
  <c r="GK39" i="1"/>
  <c r="GL39" i="1"/>
  <c r="GN39" i="1"/>
  <c r="GO39" i="1"/>
  <c r="GV39" i="1"/>
  <c r="HC39" i="1"/>
  <c r="GX39" i="1" s="1"/>
  <c r="C40" i="1"/>
  <c r="D40" i="1"/>
  <c r="P40" i="1"/>
  <c r="S40" i="1"/>
  <c r="T40" i="1"/>
  <c r="U40" i="1"/>
  <c r="AC40" i="1"/>
  <c r="AE40" i="1"/>
  <c r="AF40" i="1"/>
  <c r="CT40" i="1" s="1"/>
  <c r="AG40" i="1"/>
  <c r="CU40" i="1" s="1"/>
  <c r="AH40" i="1"/>
  <c r="CV40" i="1" s="1"/>
  <c r="AI40" i="1"/>
  <c r="CW40" i="1" s="1"/>
  <c r="V40" i="1" s="1"/>
  <c r="AJ40" i="1"/>
  <c r="CQ40" i="1"/>
  <c r="CX40" i="1"/>
  <c r="W40" i="1" s="1"/>
  <c r="GL40" i="1"/>
  <c r="GN40" i="1"/>
  <c r="GO40" i="1"/>
  <c r="GV40" i="1"/>
  <c r="HC40" i="1"/>
  <c r="GX40" i="1" s="1"/>
  <c r="C41" i="1"/>
  <c r="D41" i="1"/>
  <c r="R41" i="1"/>
  <c r="GK41" i="1" s="1"/>
  <c r="S41" i="1"/>
  <c r="CY41" i="1" s="1"/>
  <c r="X41" i="1" s="1"/>
  <c r="T41" i="1"/>
  <c r="AC41" i="1"/>
  <c r="AE41" i="1"/>
  <c r="CR41" i="1" s="1"/>
  <c r="Q41" i="1" s="1"/>
  <c r="AF41" i="1"/>
  <c r="AG41" i="1"/>
  <c r="CU41" i="1" s="1"/>
  <c r="AH41" i="1"/>
  <c r="CV41" i="1" s="1"/>
  <c r="U41" i="1" s="1"/>
  <c r="AI41" i="1"/>
  <c r="AJ41" i="1"/>
  <c r="CS41" i="1"/>
  <c r="CT41" i="1"/>
  <c r="CW41" i="1"/>
  <c r="V41" i="1" s="1"/>
  <c r="CX41" i="1"/>
  <c r="W41" i="1" s="1"/>
  <c r="GL41" i="1"/>
  <c r="GN41" i="1"/>
  <c r="GO41" i="1"/>
  <c r="GV41" i="1"/>
  <c r="HC41" i="1"/>
  <c r="GX41" i="1" s="1"/>
  <c r="C42" i="1"/>
  <c r="D42" i="1"/>
  <c r="I42" i="1"/>
  <c r="CU15" i="3" s="1"/>
  <c r="K42" i="1"/>
  <c r="AC42" i="1"/>
  <c r="AE42" i="1"/>
  <c r="AF42" i="1"/>
  <c r="CT42" i="1" s="1"/>
  <c r="S42" i="1" s="1"/>
  <c r="AG42" i="1"/>
  <c r="CU42" i="1" s="1"/>
  <c r="T42" i="1" s="1"/>
  <c r="AH42" i="1"/>
  <c r="CV42" i="1" s="1"/>
  <c r="U42" i="1" s="1"/>
  <c r="AI42" i="1"/>
  <c r="CW42" i="1" s="1"/>
  <c r="V42" i="1" s="1"/>
  <c r="AJ42" i="1"/>
  <c r="CX42" i="1" s="1"/>
  <c r="W42" i="1" s="1"/>
  <c r="CQ42" i="1"/>
  <c r="P42" i="1" s="1"/>
  <c r="GL42" i="1"/>
  <c r="GN42" i="1"/>
  <c r="GO42" i="1"/>
  <c r="GV42" i="1"/>
  <c r="HC42" i="1"/>
  <c r="GX42" i="1" s="1"/>
  <c r="C43" i="1"/>
  <c r="D43" i="1"/>
  <c r="I43" i="1"/>
  <c r="K43" i="1"/>
  <c r="P43" i="1"/>
  <c r="AC43" i="1"/>
  <c r="AE43" i="1"/>
  <c r="AD43" i="1" s="1"/>
  <c r="AF43" i="1"/>
  <c r="AG43" i="1"/>
  <c r="AH43" i="1"/>
  <c r="AI43" i="1"/>
  <c r="AJ43" i="1"/>
  <c r="CQ43" i="1"/>
  <c r="CR43" i="1"/>
  <c r="CS43" i="1"/>
  <c r="CT43" i="1"/>
  <c r="S43" i="1" s="1"/>
  <c r="CU43" i="1"/>
  <c r="T43" i="1" s="1"/>
  <c r="CV43" i="1"/>
  <c r="CW43" i="1"/>
  <c r="V43" i="1" s="1"/>
  <c r="CX43" i="1"/>
  <c r="W43" i="1" s="1"/>
  <c r="GL43" i="1"/>
  <c r="GN43" i="1"/>
  <c r="GO43" i="1"/>
  <c r="GV43" i="1"/>
  <c r="HC43" i="1"/>
  <c r="C44" i="1"/>
  <c r="D44" i="1"/>
  <c r="P44" i="1"/>
  <c r="Q44" i="1"/>
  <c r="R44" i="1"/>
  <c r="S44" i="1"/>
  <c r="V44" i="1"/>
  <c r="W44" i="1"/>
  <c r="X44" i="1"/>
  <c r="Y44" i="1"/>
  <c r="AB44" i="1"/>
  <c r="AC44" i="1"/>
  <c r="AE44" i="1"/>
  <c r="AD44" i="1" s="1"/>
  <c r="AF44" i="1"/>
  <c r="AG44" i="1"/>
  <c r="CU44" i="1" s="1"/>
  <c r="T44" i="1" s="1"/>
  <c r="AH44" i="1"/>
  <c r="CV44" i="1" s="1"/>
  <c r="U44" i="1" s="1"/>
  <c r="AI44" i="1"/>
  <c r="AJ44" i="1"/>
  <c r="CQ44" i="1"/>
  <c r="CR44" i="1"/>
  <c r="CS44" i="1"/>
  <c r="CT44" i="1"/>
  <c r="CW44" i="1"/>
  <c r="CX44" i="1"/>
  <c r="CY44" i="1"/>
  <c r="CZ44" i="1"/>
  <c r="GK44" i="1"/>
  <c r="GL44" i="1"/>
  <c r="GN44" i="1"/>
  <c r="GO44" i="1"/>
  <c r="GV44" i="1"/>
  <c r="HC44" i="1"/>
  <c r="GX44" i="1" s="1"/>
  <c r="C45" i="1"/>
  <c r="D45" i="1"/>
  <c r="Q45" i="1"/>
  <c r="R45" i="1"/>
  <c r="S45" i="1"/>
  <c r="T45" i="1"/>
  <c r="V45" i="1"/>
  <c r="X45" i="1"/>
  <c r="Y45" i="1"/>
  <c r="AC45" i="1"/>
  <c r="AB45" i="1" s="1"/>
  <c r="AD45" i="1"/>
  <c r="AE45" i="1"/>
  <c r="AF45" i="1"/>
  <c r="AG45" i="1"/>
  <c r="AH45" i="1"/>
  <c r="CV45" i="1" s="1"/>
  <c r="U45" i="1" s="1"/>
  <c r="AI45" i="1"/>
  <c r="AJ45" i="1"/>
  <c r="CX45" i="1" s="1"/>
  <c r="W45" i="1" s="1"/>
  <c r="CQ45" i="1"/>
  <c r="P45" i="1" s="1"/>
  <c r="CP45" i="1" s="1"/>
  <c r="O45" i="1" s="1"/>
  <c r="GM45" i="1" s="1"/>
  <c r="GP45" i="1" s="1"/>
  <c r="CR45" i="1"/>
  <c r="CS45" i="1"/>
  <c r="CT45" i="1"/>
  <c r="CU45" i="1"/>
  <c r="CW45" i="1"/>
  <c r="CY45" i="1"/>
  <c r="CZ45" i="1"/>
  <c r="GK45" i="1"/>
  <c r="GL45" i="1"/>
  <c r="GN45" i="1"/>
  <c r="GO45" i="1"/>
  <c r="GV45" i="1"/>
  <c r="HC45" i="1"/>
  <c r="GX45" i="1" s="1"/>
  <c r="C46" i="1"/>
  <c r="D46" i="1"/>
  <c r="P46" i="1"/>
  <c r="Q46" i="1"/>
  <c r="R46" i="1"/>
  <c r="GK46" i="1" s="1"/>
  <c r="S46" i="1"/>
  <c r="W46" i="1"/>
  <c r="AC46" i="1"/>
  <c r="AE46" i="1"/>
  <c r="CR46" i="1" s="1"/>
  <c r="AF46" i="1"/>
  <c r="AG46" i="1"/>
  <c r="AH46" i="1"/>
  <c r="AI46" i="1"/>
  <c r="AJ46" i="1"/>
  <c r="CQ46" i="1"/>
  <c r="CS46" i="1"/>
  <c r="CT46" i="1"/>
  <c r="CU46" i="1"/>
  <c r="T46" i="1" s="1"/>
  <c r="CV46" i="1"/>
  <c r="U46" i="1" s="1"/>
  <c r="CW46" i="1"/>
  <c r="V46" i="1" s="1"/>
  <c r="CX46" i="1"/>
  <c r="GL46" i="1"/>
  <c r="GN46" i="1"/>
  <c r="GO46" i="1"/>
  <c r="GV46" i="1"/>
  <c r="HC46" i="1" s="1"/>
  <c r="GX46" i="1" s="1"/>
  <c r="C47" i="1"/>
  <c r="D47" i="1"/>
  <c r="V47" i="1"/>
  <c r="W47" i="1"/>
  <c r="AC47" i="1"/>
  <c r="AE47" i="1"/>
  <c r="AF47" i="1"/>
  <c r="AG47" i="1"/>
  <c r="AH47" i="1"/>
  <c r="CV47" i="1" s="1"/>
  <c r="U47" i="1" s="1"/>
  <c r="AI47" i="1"/>
  <c r="AJ47" i="1"/>
  <c r="CT47" i="1"/>
  <c r="S47" i="1" s="1"/>
  <c r="CU47" i="1"/>
  <c r="T47" i="1" s="1"/>
  <c r="CW47" i="1"/>
  <c r="CX47" i="1"/>
  <c r="GL47" i="1"/>
  <c r="GN47" i="1"/>
  <c r="GO47" i="1"/>
  <c r="GV47" i="1"/>
  <c r="HC47" i="1" s="1"/>
  <c r="GX47" i="1" s="1"/>
  <c r="B49" i="1"/>
  <c r="C49" i="1"/>
  <c r="D49" i="1"/>
  <c r="D30" i="1" s="1"/>
  <c r="F49" i="1"/>
  <c r="F30" i="1" s="1"/>
  <c r="G49" i="1"/>
  <c r="G30" i="1" s="1"/>
  <c r="AP49" i="1"/>
  <c r="F58" i="1" s="1"/>
  <c r="BB49" i="1"/>
  <c r="BC49" i="1"/>
  <c r="BD49" i="1"/>
  <c r="BX49" i="1"/>
  <c r="BY49" i="1"/>
  <c r="CK49" i="1"/>
  <c r="CK30" i="1" s="1"/>
  <c r="CL49" i="1"/>
  <c r="CL30" i="1" s="1"/>
  <c r="CM49" i="1"/>
  <c r="CM30" i="1" s="1"/>
  <c r="D79" i="1"/>
  <c r="B81" i="1"/>
  <c r="E81" i="1"/>
  <c r="Z81" i="1"/>
  <c r="AA81" i="1"/>
  <c r="AM81" i="1"/>
  <c r="AN81" i="1"/>
  <c r="AO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BQ81" i="1"/>
  <c r="BR81" i="1"/>
  <c r="BS81" i="1"/>
  <c r="BT81" i="1"/>
  <c r="BU81" i="1"/>
  <c r="BV81" i="1"/>
  <c r="BW81" i="1"/>
  <c r="CL81" i="1"/>
  <c r="CM81" i="1"/>
  <c r="CN81" i="1"/>
  <c r="CO81" i="1"/>
  <c r="CP81" i="1"/>
  <c r="CQ81" i="1"/>
  <c r="CR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DL81" i="1"/>
  <c r="DM81" i="1"/>
  <c r="DN81" i="1"/>
  <c r="DO81" i="1"/>
  <c r="DP81" i="1"/>
  <c r="DQ81" i="1"/>
  <c r="DR81" i="1"/>
  <c r="DS81" i="1"/>
  <c r="DT81" i="1"/>
  <c r="DU81" i="1"/>
  <c r="DV81" i="1"/>
  <c r="DW81" i="1"/>
  <c r="DX81" i="1"/>
  <c r="DY81" i="1"/>
  <c r="DZ81" i="1"/>
  <c r="EA81" i="1"/>
  <c r="EB81" i="1"/>
  <c r="EC81" i="1"/>
  <c r="ED81" i="1"/>
  <c r="EE81" i="1"/>
  <c r="EF81" i="1"/>
  <c r="EG81" i="1"/>
  <c r="EH81" i="1"/>
  <c r="EI81" i="1"/>
  <c r="EJ81" i="1"/>
  <c r="EK81" i="1"/>
  <c r="EL81" i="1"/>
  <c r="EM81" i="1"/>
  <c r="EN81" i="1"/>
  <c r="EO81" i="1"/>
  <c r="EP81" i="1"/>
  <c r="EQ81" i="1"/>
  <c r="ER81" i="1"/>
  <c r="ES81" i="1"/>
  <c r="ET81" i="1"/>
  <c r="EU81" i="1"/>
  <c r="EV81" i="1"/>
  <c r="EW81" i="1"/>
  <c r="EX81" i="1"/>
  <c r="EY81" i="1"/>
  <c r="EZ81" i="1"/>
  <c r="FA81" i="1"/>
  <c r="FB81" i="1"/>
  <c r="FC81" i="1"/>
  <c r="FD81" i="1"/>
  <c r="FE81" i="1"/>
  <c r="FF81" i="1"/>
  <c r="FG81" i="1"/>
  <c r="FH81" i="1"/>
  <c r="FI81" i="1"/>
  <c r="FJ81" i="1"/>
  <c r="FK81" i="1"/>
  <c r="FL81" i="1"/>
  <c r="FM81" i="1"/>
  <c r="FN81" i="1"/>
  <c r="FO81" i="1"/>
  <c r="FP81" i="1"/>
  <c r="FQ81" i="1"/>
  <c r="FR81" i="1"/>
  <c r="FS81" i="1"/>
  <c r="FT81" i="1"/>
  <c r="FU81" i="1"/>
  <c r="FV81" i="1"/>
  <c r="FW81" i="1"/>
  <c r="FX81" i="1"/>
  <c r="FY81" i="1"/>
  <c r="FZ81" i="1"/>
  <c r="GA81" i="1"/>
  <c r="GB81" i="1"/>
  <c r="GC81" i="1"/>
  <c r="GD81" i="1"/>
  <c r="GE81" i="1"/>
  <c r="GF81" i="1"/>
  <c r="GG81" i="1"/>
  <c r="GH81" i="1"/>
  <c r="GI81" i="1"/>
  <c r="GJ81" i="1"/>
  <c r="GK81" i="1"/>
  <c r="GL81" i="1"/>
  <c r="GM81" i="1"/>
  <c r="GN81" i="1"/>
  <c r="GO81" i="1"/>
  <c r="GP81" i="1"/>
  <c r="GQ81" i="1"/>
  <c r="GR81" i="1"/>
  <c r="GS81" i="1"/>
  <c r="GT81" i="1"/>
  <c r="GU81" i="1"/>
  <c r="GV81" i="1"/>
  <c r="GW81" i="1"/>
  <c r="GX81" i="1"/>
  <c r="C83" i="1"/>
  <c r="D83" i="1"/>
  <c r="I83" i="1"/>
  <c r="K83" i="1"/>
  <c r="V83" i="1"/>
  <c r="W83" i="1"/>
  <c r="X83" i="1"/>
  <c r="AC83" i="1"/>
  <c r="CQ83" i="1" s="1"/>
  <c r="P83" i="1" s="1"/>
  <c r="CP83" i="1" s="1"/>
  <c r="O83" i="1" s="1"/>
  <c r="GM83" i="1" s="1"/>
  <c r="GP83" i="1" s="1"/>
  <c r="AD83" i="1"/>
  <c r="AE83" i="1"/>
  <c r="AF83" i="1"/>
  <c r="AG83" i="1"/>
  <c r="CU83" i="1" s="1"/>
  <c r="T83" i="1" s="1"/>
  <c r="AH83" i="1"/>
  <c r="CV83" i="1" s="1"/>
  <c r="U83" i="1" s="1"/>
  <c r="AI83" i="1"/>
  <c r="CW83" i="1" s="1"/>
  <c r="AJ83" i="1"/>
  <c r="CR83" i="1"/>
  <c r="Q83" i="1" s="1"/>
  <c r="CS83" i="1"/>
  <c r="R83" i="1" s="1"/>
  <c r="CT83" i="1"/>
  <c r="S83" i="1" s="1"/>
  <c r="CX83" i="1"/>
  <c r="CY83" i="1"/>
  <c r="CZ83" i="1"/>
  <c r="Y83" i="1" s="1"/>
  <c r="GK83" i="1"/>
  <c r="GL83" i="1"/>
  <c r="GN83" i="1"/>
  <c r="GO83" i="1"/>
  <c r="GV83" i="1"/>
  <c r="HC83" i="1"/>
  <c r="GX83" i="1" s="1"/>
  <c r="I84" i="1"/>
  <c r="S84" i="1"/>
  <c r="CY84" i="1" s="1"/>
  <c r="X84" i="1" s="1"/>
  <c r="AC84" i="1"/>
  <c r="CQ84" i="1" s="1"/>
  <c r="AE84" i="1"/>
  <c r="AF84" i="1"/>
  <c r="AG84" i="1"/>
  <c r="AH84" i="1"/>
  <c r="AI84" i="1"/>
  <c r="AJ84" i="1"/>
  <c r="CT84" i="1"/>
  <c r="CU84" i="1"/>
  <c r="T84" i="1" s="1"/>
  <c r="CV84" i="1"/>
  <c r="U84" i="1" s="1"/>
  <c r="CW84" i="1"/>
  <c r="V84" i="1" s="1"/>
  <c r="CX84" i="1"/>
  <c r="GL84" i="1"/>
  <c r="GN84" i="1"/>
  <c r="GO84" i="1"/>
  <c r="GV84" i="1"/>
  <c r="HC84" i="1"/>
  <c r="C85" i="1"/>
  <c r="D85" i="1"/>
  <c r="I85" i="1"/>
  <c r="CU24" i="3" s="1"/>
  <c r="K85" i="1"/>
  <c r="V85" i="1"/>
  <c r="W85" i="1"/>
  <c r="AC85" i="1"/>
  <c r="CQ85" i="1" s="1"/>
  <c r="P85" i="1" s="1"/>
  <c r="AE85" i="1"/>
  <c r="AF85" i="1"/>
  <c r="CT85" i="1" s="1"/>
  <c r="S85" i="1" s="1"/>
  <c r="AG85" i="1"/>
  <c r="CU85" i="1" s="1"/>
  <c r="T85" i="1" s="1"/>
  <c r="AH85" i="1"/>
  <c r="CV85" i="1" s="1"/>
  <c r="U85" i="1" s="1"/>
  <c r="AI85" i="1"/>
  <c r="CW85" i="1" s="1"/>
  <c r="AJ85" i="1"/>
  <c r="CX85" i="1"/>
  <c r="GL85" i="1"/>
  <c r="GN85" i="1"/>
  <c r="GO85" i="1"/>
  <c r="GV85" i="1"/>
  <c r="HC85" i="1"/>
  <c r="GX85" i="1" s="1"/>
  <c r="C86" i="1"/>
  <c r="D86" i="1"/>
  <c r="I86" i="1"/>
  <c r="CX26" i="3" s="1"/>
  <c r="K86" i="1"/>
  <c r="AC86" i="1"/>
  <c r="AD86" i="1"/>
  <c r="AE86" i="1"/>
  <c r="AF86" i="1"/>
  <c r="AG86" i="1"/>
  <c r="AH86" i="1"/>
  <c r="AI86" i="1"/>
  <c r="AJ86" i="1"/>
  <c r="CT86" i="1"/>
  <c r="CU86" i="1"/>
  <c r="CV86" i="1"/>
  <c r="CW86" i="1"/>
  <c r="CX86" i="1"/>
  <c r="GL86" i="1"/>
  <c r="GN86" i="1"/>
  <c r="GO86" i="1"/>
  <c r="GV86" i="1"/>
  <c r="HC86" i="1"/>
  <c r="GX86" i="1" s="1"/>
  <c r="I87" i="1"/>
  <c r="AC87" i="1"/>
  <c r="CQ87" i="1" s="1"/>
  <c r="P87" i="1" s="1"/>
  <c r="AE87" i="1"/>
  <c r="AD87" i="1" s="1"/>
  <c r="AF87" i="1"/>
  <c r="CT87" i="1" s="1"/>
  <c r="S87" i="1" s="1"/>
  <c r="AG87" i="1"/>
  <c r="CU87" i="1" s="1"/>
  <c r="AH87" i="1"/>
  <c r="CV87" i="1" s="1"/>
  <c r="AI87" i="1"/>
  <c r="AJ87" i="1"/>
  <c r="CR87" i="1"/>
  <c r="CS87" i="1"/>
  <c r="CW87" i="1"/>
  <c r="CX87" i="1"/>
  <c r="GL87" i="1"/>
  <c r="GN87" i="1"/>
  <c r="GO87" i="1"/>
  <c r="GV87" i="1"/>
  <c r="HC87" i="1"/>
  <c r="C88" i="1"/>
  <c r="D88" i="1"/>
  <c r="V88" i="1"/>
  <c r="W88" i="1"/>
  <c r="AC88" i="1"/>
  <c r="CQ88" i="1" s="1"/>
  <c r="P88" i="1" s="1"/>
  <c r="AE88" i="1"/>
  <c r="AF88" i="1"/>
  <c r="CT88" i="1" s="1"/>
  <c r="S88" i="1" s="1"/>
  <c r="AG88" i="1"/>
  <c r="AH88" i="1"/>
  <c r="CV88" i="1" s="1"/>
  <c r="U88" i="1" s="1"/>
  <c r="AI88" i="1"/>
  <c r="CW88" i="1" s="1"/>
  <c r="AJ88" i="1"/>
  <c r="CX88" i="1" s="1"/>
  <c r="CU88" i="1"/>
  <c r="T88" i="1" s="1"/>
  <c r="GL88" i="1"/>
  <c r="GN88" i="1"/>
  <c r="GO88" i="1"/>
  <c r="GV88" i="1"/>
  <c r="HC88" i="1"/>
  <c r="GX88" i="1" s="1"/>
  <c r="I89" i="1"/>
  <c r="U89" i="1" s="1"/>
  <c r="P89" i="1"/>
  <c r="S89" i="1"/>
  <c r="CZ89" i="1" s="1"/>
  <c r="Y89" i="1" s="1"/>
  <c r="T89" i="1"/>
  <c r="AC89" i="1"/>
  <c r="AB89" i="1" s="1"/>
  <c r="AD89" i="1"/>
  <c r="AE89" i="1"/>
  <c r="AF89" i="1"/>
  <c r="AG89" i="1"/>
  <c r="AH89" i="1"/>
  <c r="CV89" i="1" s="1"/>
  <c r="AI89" i="1"/>
  <c r="CW89" i="1" s="1"/>
  <c r="AJ89" i="1"/>
  <c r="CQ89" i="1"/>
  <c r="CR89" i="1"/>
  <c r="CS89" i="1"/>
  <c r="CT89" i="1"/>
  <c r="CU89" i="1"/>
  <c r="CX89" i="1"/>
  <c r="GL89" i="1"/>
  <c r="GN89" i="1"/>
  <c r="GO89" i="1"/>
  <c r="GV89" i="1"/>
  <c r="HC89" i="1"/>
  <c r="GX89" i="1" s="1"/>
  <c r="C90" i="1"/>
  <c r="D90" i="1"/>
  <c r="AC90" i="1"/>
  <c r="AE90" i="1"/>
  <c r="AF90" i="1"/>
  <c r="CT90" i="1" s="1"/>
  <c r="S90" i="1" s="1"/>
  <c r="AG90" i="1"/>
  <c r="CU90" i="1" s="1"/>
  <c r="T90" i="1" s="1"/>
  <c r="AH90" i="1"/>
  <c r="CV90" i="1" s="1"/>
  <c r="U90" i="1" s="1"/>
  <c r="AI90" i="1"/>
  <c r="CW90" i="1" s="1"/>
  <c r="V90" i="1" s="1"/>
  <c r="AJ90" i="1"/>
  <c r="CX90" i="1" s="1"/>
  <c r="W90" i="1" s="1"/>
  <c r="GL90" i="1"/>
  <c r="GN90" i="1"/>
  <c r="GO90" i="1"/>
  <c r="GV90" i="1"/>
  <c r="HC90" i="1"/>
  <c r="GX90" i="1" s="1"/>
  <c r="C91" i="1"/>
  <c r="D91" i="1"/>
  <c r="P91" i="1"/>
  <c r="Q91" i="1"/>
  <c r="AB91" i="1"/>
  <c r="AC91" i="1"/>
  <c r="AE91" i="1"/>
  <c r="AD91" i="1" s="1"/>
  <c r="AF91" i="1"/>
  <c r="AG91" i="1"/>
  <c r="AH91" i="1"/>
  <c r="AI91" i="1"/>
  <c r="AJ91" i="1"/>
  <c r="CQ91" i="1"/>
  <c r="CR91" i="1"/>
  <c r="CS91" i="1"/>
  <c r="R91" i="1" s="1"/>
  <c r="GK91" i="1" s="1"/>
  <c r="CT91" i="1"/>
  <c r="S91" i="1" s="1"/>
  <c r="CU91" i="1"/>
  <c r="T91" i="1" s="1"/>
  <c r="CV91" i="1"/>
  <c r="U91" i="1" s="1"/>
  <c r="CW91" i="1"/>
  <c r="V91" i="1" s="1"/>
  <c r="CX91" i="1"/>
  <c r="W91" i="1" s="1"/>
  <c r="GL91" i="1"/>
  <c r="GN91" i="1"/>
  <c r="GO91" i="1"/>
  <c r="GV91" i="1"/>
  <c r="HC91" i="1"/>
  <c r="GX91" i="1" s="1"/>
  <c r="C92" i="1"/>
  <c r="D92" i="1"/>
  <c r="Q92" i="1"/>
  <c r="R92" i="1"/>
  <c r="S92" i="1"/>
  <c r="T92" i="1"/>
  <c r="U92" i="1"/>
  <c r="V92" i="1"/>
  <c r="W92" i="1"/>
  <c r="X92" i="1"/>
  <c r="Y92" i="1"/>
  <c r="AC92" i="1"/>
  <c r="AD92" i="1"/>
  <c r="AE92" i="1"/>
  <c r="AF92" i="1"/>
  <c r="AG92" i="1"/>
  <c r="AH92" i="1"/>
  <c r="AI92" i="1"/>
  <c r="AJ92" i="1"/>
  <c r="CR92" i="1"/>
  <c r="CS92" i="1"/>
  <c r="CT92" i="1"/>
  <c r="CU92" i="1"/>
  <c r="CV92" i="1"/>
  <c r="CW92" i="1"/>
  <c r="CX92" i="1"/>
  <c r="CY92" i="1"/>
  <c r="CZ92" i="1"/>
  <c r="GK92" i="1"/>
  <c r="GL92" i="1"/>
  <c r="GN92" i="1"/>
  <c r="GO92" i="1"/>
  <c r="GV92" i="1"/>
  <c r="GX92" i="1"/>
  <c r="HC92" i="1"/>
  <c r="C93" i="1"/>
  <c r="D93" i="1"/>
  <c r="I93" i="1"/>
  <c r="K93" i="1"/>
  <c r="P93" i="1"/>
  <c r="CP93" i="1" s="1"/>
  <c r="O93" i="1" s="1"/>
  <c r="Q93" i="1"/>
  <c r="R93" i="1"/>
  <c r="S93" i="1"/>
  <c r="T93" i="1"/>
  <c r="U93" i="1"/>
  <c r="V93" i="1"/>
  <c r="W93" i="1"/>
  <c r="X93" i="1"/>
  <c r="Y93" i="1"/>
  <c r="AC93" i="1"/>
  <c r="AD93" i="1"/>
  <c r="AB93" i="1" s="1"/>
  <c r="AE93" i="1"/>
  <c r="AF93" i="1"/>
  <c r="AG93" i="1"/>
  <c r="AH93" i="1"/>
  <c r="AI93" i="1"/>
  <c r="AJ93" i="1"/>
  <c r="CQ93" i="1"/>
  <c r="CR93" i="1"/>
  <c r="CS93" i="1"/>
  <c r="CT93" i="1"/>
  <c r="CU93" i="1"/>
  <c r="CV93" i="1"/>
  <c r="CW93" i="1"/>
  <c r="CX93" i="1"/>
  <c r="CY93" i="1"/>
  <c r="CZ93" i="1"/>
  <c r="GK93" i="1"/>
  <c r="GL93" i="1"/>
  <c r="GN93" i="1"/>
  <c r="GO93" i="1"/>
  <c r="GV93" i="1"/>
  <c r="GX93" i="1"/>
  <c r="GM93" i="1" s="1"/>
  <c r="GP93" i="1" s="1"/>
  <c r="HC93" i="1"/>
  <c r="AC94" i="1"/>
  <c r="CQ94" i="1" s="1"/>
  <c r="AE94" i="1"/>
  <c r="CR94" i="1" s="1"/>
  <c r="AF94" i="1"/>
  <c r="CT94" i="1" s="1"/>
  <c r="AG94" i="1"/>
  <c r="CU94" i="1" s="1"/>
  <c r="AH94" i="1"/>
  <c r="AI94" i="1"/>
  <c r="AJ94" i="1"/>
  <c r="CS94" i="1"/>
  <c r="CV94" i="1"/>
  <c r="CW94" i="1"/>
  <c r="CX94" i="1"/>
  <c r="GL94" i="1"/>
  <c r="GN94" i="1"/>
  <c r="GO94" i="1"/>
  <c r="GV94" i="1"/>
  <c r="HC94" i="1" s="1"/>
  <c r="B96" i="1"/>
  <c r="C96" i="1"/>
  <c r="C81" i="1" s="1"/>
  <c r="D96" i="1"/>
  <c r="D81" i="1" s="1"/>
  <c r="F96" i="1"/>
  <c r="F81" i="1" s="1"/>
  <c r="G96" i="1"/>
  <c r="G81" i="1" s="1"/>
  <c r="AO96" i="1"/>
  <c r="BB96" i="1"/>
  <c r="BB81" i="1" s="1"/>
  <c r="BC96" i="1"/>
  <c r="BC81" i="1" s="1"/>
  <c r="BD96" i="1"/>
  <c r="BX96" i="1"/>
  <c r="BX81" i="1" s="1"/>
  <c r="BY96" i="1"/>
  <c r="BZ96" i="1"/>
  <c r="CB96" i="1"/>
  <c r="CK96" i="1"/>
  <c r="CK81" i="1" s="1"/>
  <c r="CL96" i="1"/>
  <c r="CM96" i="1"/>
  <c r="F100" i="1"/>
  <c r="D126" i="1"/>
  <c r="C128" i="1"/>
  <c r="D128" i="1"/>
  <c r="E128" i="1"/>
  <c r="F128" i="1"/>
  <c r="Z128" i="1"/>
  <c r="AA128" i="1"/>
  <c r="AM128" i="1"/>
  <c r="AN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W128" i="1"/>
  <c r="CL128" i="1"/>
  <c r="CM128" i="1"/>
  <c r="CN128" i="1"/>
  <c r="CO128" i="1"/>
  <c r="CP128" i="1"/>
  <c r="CQ128" i="1"/>
  <c r="CR128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DG128" i="1"/>
  <c r="DH128" i="1"/>
  <c r="DI128" i="1"/>
  <c r="DJ128" i="1"/>
  <c r="DK128" i="1"/>
  <c r="DL128" i="1"/>
  <c r="DM128" i="1"/>
  <c r="DN128" i="1"/>
  <c r="DO128" i="1"/>
  <c r="DP128" i="1"/>
  <c r="DQ128" i="1"/>
  <c r="DR128" i="1"/>
  <c r="DS128" i="1"/>
  <c r="DT128" i="1"/>
  <c r="DU128" i="1"/>
  <c r="DV128" i="1"/>
  <c r="DW128" i="1"/>
  <c r="DX128" i="1"/>
  <c r="DY128" i="1"/>
  <c r="DZ128" i="1"/>
  <c r="EA128" i="1"/>
  <c r="EB128" i="1"/>
  <c r="EC128" i="1"/>
  <c r="ED128" i="1"/>
  <c r="EE128" i="1"/>
  <c r="EF128" i="1"/>
  <c r="EG128" i="1"/>
  <c r="EH128" i="1"/>
  <c r="EI128" i="1"/>
  <c r="EJ128" i="1"/>
  <c r="EK128" i="1"/>
  <c r="EL128" i="1"/>
  <c r="EM128" i="1"/>
  <c r="EN128" i="1"/>
  <c r="EO128" i="1"/>
  <c r="EP128" i="1"/>
  <c r="EQ128" i="1"/>
  <c r="ER128" i="1"/>
  <c r="ES128" i="1"/>
  <c r="ET128" i="1"/>
  <c r="EU128" i="1"/>
  <c r="EV128" i="1"/>
  <c r="EW128" i="1"/>
  <c r="EX128" i="1"/>
  <c r="EY128" i="1"/>
  <c r="EZ128" i="1"/>
  <c r="FA128" i="1"/>
  <c r="FB128" i="1"/>
  <c r="FC128" i="1"/>
  <c r="FD128" i="1"/>
  <c r="FE128" i="1"/>
  <c r="FF128" i="1"/>
  <c r="FG128" i="1"/>
  <c r="FH128" i="1"/>
  <c r="FI128" i="1"/>
  <c r="FJ128" i="1"/>
  <c r="FK128" i="1"/>
  <c r="FL128" i="1"/>
  <c r="FM128" i="1"/>
  <c r="FN128" i="1"/>
  <c r="FO128" i="1"/>
  <c r="FP128" i="1"/>
  <c r="FQ128" i="1"/>
  <c r="FR128" i="1"/>
  <c r="FS128" i="1"/>
  <c r="FT128" i="1"/>
  <c r="FU128" i="1"/>
  <c r="FV128" i="1"/>
  <c r="FW128" i="1"/>
  <c r="FX128" i="1"/>
  <c r="FY128" i="1"/>
  <c r="FZ128" i="1"/>
  <c r="GA128" i="1"/>
  <c r="GB128" i="1"/>
  <c r="GC128" i="1"/>
  <c r="GD128" i="1"/>
  <c r="GE128" i="1"/>
  <c r="GF128" i="1"/>
  <c r="GG128" i="1"/>
  <c r="GH128" i="1"/>
  <c r="GI128" i="1"/>
  <c r="GJ128" i="1"/>
  <c r="GK128" i="1"/>
  <c r="GL128" i="1"/>
  <c r="GM128" i="1"/>
  <c r="GN128" i="1"/>
  <c r="GO128" i="1"/>
  <c r="GP128" i="1"/>
  <c r="GQ128" i="1"/>
  <c r="GR128" i="1"/>
  <c r="GS128" i="1"/>
  <c r="GT128" i="1"/>
  <c r="GU128" i="1"/>
  <c r="GV128" i="1"/>
  <c r="GW128" i="1"/>
  <c r="GX128" i="1"/>
  <c r="C130" i="1"/>
  <c r="D130" i="1"/>
  <c r="I130" i="1"/>
  <c r="CU41" i="3" s="1"/>
  <c r="K130" i="1"/>
  <c r="S130" i="1"/>
  <c r="CY130" i="1" s="1"/>
  <c r="X130" i="1" s="1"/>
  <c r="T130" i="1"/>
  <c r="V130" i="1"/>
  <c r="AC130" i="1"/>
  <c r="AE130" i="1"/>
  <c r="AF130" i="1"/>
  <c r="CT130" i="1" s="1"/>
  <c r="AG130" i="1"/>
  <c r="AH130" i="1"/>
  <c r="AI130" i="1"/>
  <c r="AJ130" i="1"/>
  <c r="CX130" i="1" s="1"/>
  <c r="W130" i="1" s="1"/>
  <c r="CU130" i="1"/>
  <c r="CV130" i="1"/>
  <c r="U130" i="1" s="1"/>
  <c r="CW130" i="1"/>
  <c r="GL130" i="1"/>
  <c r="BZ148" i="1" s="1"/>
  <c r="GN130" i="1"/>
  <c r="GO130" i="1"/>
  <c r="GV130" i="1"/>
  <c r="HC130" i="1"/>
  <c r="GX130" i="1" s="1"/>
  <c r="C131" i="1"/>
  <c r="D131" i="1"/>
  <c r="I131" i="1"/>
  <c r="K131" i="1"/>
  <c r="V131" i="1"/>
  <c r="W131" i="1"/>
  <c r="AC131" i="1"/>
  <c r="CQ131" i="1" s="1"/>
  <c r="P131" i="1" s="1"/>
  <c r="AE131" i="1"/>
  <c r="AF131" i="1"/>
  <c r="CT131" i="1" s="1"/>
  <c r="S131" i="1" s="1"/>
  <c r="AG131" i="1"/>
  <c r="CU131" i="1" s="1"/>
  <c r="T131" i="1" s="1"/>
  <c r="AH131" i="1"/>
  <c r="CV131" i="1" s="1"/>
  <c r="U131" i="1" s="1"/>
  <c r="AI131" i="1"/>
  <c r="AJ131" i="1"/>
  <c r="CX131" i="1" s="1"/>
  <c r="CW131" i="1"/>
  <c r="GL131" i="1"/>
  <c r="GN131" i="1"/>
  <c r="GO131" i="1"/>
  <c r="GV131" i="1"/>
  <c r="HC131" i="1"/>
  <c r="GX131" i="1" s="1"/>
  <c r="C132" i="1"/>
  <c r="D132" i="1"/>
  <c r="P132" i="1"/>
  <c r="Q132" i="1"/>
  <c r="AC132" i="1"/>
  <c r="AE132" i="1"/>
  <c r="AD132" i="1" s="1"/>
  <c r="AF132" i="1"/>
  <c r="AG132" i="1"/>
  <c r="AH132" i="1"/>
  <c r="AI132" i="1"/>
  <c r="AJ132" i="1"/>
  <c r="CQ132" i="1"/>
  <c r="CR132" i="1"/>
  <c r="CS132" i="1"/>
  <c r="R132" i="1" s="1"/>
  <c r="GK132" i="1" s="1"/>
  <c r="CT132" i="1"/>
  <c r="S132" i="1" s="1"/>
  <c r="CU132" i="1"/>
  <c r="T132" i="1" s="1"/>
  <c r="CV132" i="1"/>
  <c r="U132" i="1" s="1"/>
  <c r="CW132" i="1"/>
  <c r="V132" i="1" s="1"/>
  <c r="CX132" i="1"/>
  <c r="W132" i="1" s="1"/>
  <c r="GL132" i="1"/>
  <c r="GN132" i="1"/>
  <c r="GO132" i="1"/>
  <c r="GV132" i="1"/>
  <c r="HC132" i="1"/>
  <c r="GX132" i="1" s="1"/>
  <c r="C133" i="1"/>
  <c r="D133" i="1"/>
  <c r="I133" i="1"/>
  <c r="K133" i="1"/>
  <c r="P133" i="1"/>
  <c r="V133" i="1"/>
  <c r="W133" i="1"/>
  <c r="AC133" i="1"/>
  <c r="CQ133" i="1" s="1"/>
  <c r="AE133" i="1"/>
  <c r="AF133" i="1"/>
  <c r="CT133" i="1" s="1"/>
  <c r="S133" i="1" s="1"/>
  <c r="AG133" i="1"/>
  <c r="CU133" i="1" s="1"/>
  <c r="T133" i="1" s="1"/>
  <c r="AH133" i="1"/>
  <c r="CV133" i="1" s="1"/>
  <c r="U133" i="1" s="1"/>
  <c r="AI133" i="1"/>
  <c r="AJ133" i="1"/>
  <c r="CW133" i="1"/>
  <c r="CX133" i="1"/>
  <c r="GL133" i="1"/>
  <c r="GN133" i="1"/>
  <c r="GO133" i="1"/>
  <c r="GV133" i="1"/>
  <c r="HC133" i="1"/>
  <c r="GX133" i="1" s="1"/>
  <c r="C134" i="1"/>
  <c r="D134" i="1"/>
  <c r="I134" i="1"/>
  <c r="K134" i="1"/>
  <c r="AC134" i="1"/>
  <c r="AE134" i="1"/>
  <c r="CR134" i="1" s="1"/>
  <c r="AF134" i="1"/>
  <c r="AG134" i="1"/>
  <c r="AH134" i="1"/>
  <c r="CV134" i="1" s="1"/>
  <c r="U134" i="1" s="1"/>
  <c r="AI134" i="1"/>
  <c r="CW134" i="1" s="1"/>
  <c r="V134" i="1" s="1"/>
  <c r="AJ134" i="1"/>
  <c r="CX134" i="1" s="1"/>
  <c r="W134" i="1" s="1"/>
  <c r="CQ134" i="1"/>
  <c r="P134" i="1" s="1"/>
  <c r="CS134" i="1"/>
  <c r="R134" i="1" s="1"/>
  <c r="GK134" i="1" s="1"/>
  <c r="CT134" i="1"/>
  <c r="CU134" i="1"/>
  <c r="GL134" i="1"/>
  <c r="GN134" i="1"/>
  <c r="GO134" i="1"/>
  <c r="GV134" i="1"/>
  <c r="HC134" i="1"/>
  <c r="C135" i="1"/>
  <c r="D135" i="1"/>
  <c r="P135" i="1"/>
  <c r="R135" i="1"/>
  <c r="GK135" i="1" s="1"/>
  <c r="S135" i="1"/>
  <c r="CY135" i="1" s="1"/>
  <c r="X135" i="1" s="1"/>
  <c r="T135" i="1"/>
  <c r="U135" i="1"/>
  <c r="AC135" i="1"/>
  <c r="AE135" i="1"/>
  <c r="AD135" i="1" s="1"/>
  <c r="AB135" i="1" s="1"/>
  <c r="AF135" i="1"/>
  <c r="CT135" i="1" s="1"/>
  <c r="AG135" i="1"/>
  <c r="AH135" i="1"/>
  <c r="AI135" i="1"/>
  <c r="AJ135" i="1"/>
  <c r="CQ135" i="1"/>
  <c r="CR135" i="1"/>
  <c r="Q135" i="1" s="1"/>
  <c r="CS135" i="1"/>
  <c r="CU135" i="1"/>
  <c r="CV135" i="1"/>
  <c r="CW135" i="1"/>
  <c r="V135" i="1" s="1"/>
  <c r="CX135" i="1"/>
  <c r="W135" i="1" s="1"/>
  <c r="GL135" i="1"/>
  <c r="GN135" i="1"/>
  <c r="GO135" i="1"/>
  <c r="GV135" i="1"/>
  <c r="HC135" i="1"/>
  <c r="GX135" i="1" s="1"/>
  <c r="I136" i="1"/>
  <c r="S136" i="1"/>
  <c r="U136" i="1"/>
  <c r="V136" i="1"/>
  <c r="W136" i="1"/>
  <c r="AC136" i="1"/>
  <c r="CQ136" i="1" s="1"/>
  <c r="P136" i="1" s="1"/>
  <c r="AE136" i="1"/>
  <c r="AF136" i="1"/>
  <c r="AG136" i="1"/>
  <c r="CU136" i="1" s="1"/>
  <c r="T136" i="1" s="1"/>
  <c r="AH136" i="1"/>
  <c r="AI136" i="1"/>
  <c r="CW136" i="1" s="1"/>
  <c r="AJ136" i="1"/>
  <c r="CT136" i="1"/>
  <c r="CV136" i="1"/>
  <c r="CX136" i="1"/>
  <c r="GL136" i="1"/>
  <c r="GN136" i="1"/>
  <c r="GO136" i="1"/>
  <c r="GV136" i="1"/>
  <c r="HC136" i="1"/>
  <c r="GX136" i="1" s="1"/>
  <c r="C137" i="1"/>
  <c r="D137" i="1"/>
  <c r="I137" i="1"/>
  <c r="K137" i="1"/>
  <c r="AC137" i="1"/>
  <c r="AE137" i="1"/>
  <c r="AD137" i="1" s="1"/>
  <c r="AF137" i="1"/>
  <c r="AG137" i="1"/>
  <c r="CU137" i="1" s="1"/>
  <c r="T137" i="1" s="1"/>
  <c r="AH137" i="1"/>
  <c r="CV137" i="1" s="1"/>
  <c r="U137" i="1" s="1"/>
  <c r="AI137" i="1"/>
  <c r="CW137" i="1" s="1"/>
  <c r="V137" i="1" s="1"/>
  <c r="AJ137" i="1"/>
  <c r="CX137" i="1" s="1"/>
  <c r="W137" i="1" s="1"/>
  <c r="CQ137" i="1"/>
  <c r="P137" i="1" s="1"/>
  <c r="CR137" i="1"/>
  <c r="Q137" i="1" s="1"/>
  <c r="CS137" i="1"/>
  <c r="R137" i="1" s="1"/>
  <c r="GK137" i="1" s="1"/>
  <c r="CT137" i="1"/>
  <c r="GL137" i="1"/>
  <c r="GN137" i="1"/>
  <c r="GO137" i="1"/>
  <c r="GV137" i="1"/>
  <c r="HC137" i="1"/>
  <c r="GX137" i="1" s="1"/>
  <c r="I138" i="1"/>
  <c r="S138" i="1" s="1"/>
  <c r="P138" i="1"/>
  <c r="AC138" i="1"/>
  <c r="CQ138" i="1" s="1"/>
  <c r="AE138" i="1"/>
  <c r="AF138" i="1"/>
  <c r="AG138" i="1"/>
  <c r="AH138" i="1"/>
  <c r="AI138" i="1"/>
  <c r="AJ138" i="1"/>
  <c r="CT138" i="1"/>
  <c r="CU138" i="1"/>
  <c r="CV138" i="1"/>
  <c r="CW138" i="1"/>
  <c r="CX138" i="1"/>
  <c r="GL138" i="1"/>
  <c r="GN138" i="1"/>
  <c r="GO138" i="1"/>
  <c r="GV138" i="1"/>
  <c r="HC138" i="1"/>
  <c r="GX138" i="1" s="1"/>
  <c r="C139" i="1"/>
  <c r="D139" i="1"/>
  <c r="AC139" i="1"/>
  <c r="AE139" i="1"/>
  <c r="AD139" i="1" s="1"/>
  <c r="AF139" i="1"/>
  <c r="AG139" i="1"/>
  <c r="CU139" i="1" s="1"/>
  <c r="T139" i="1" s="1"/>
  <c r="AH139" i="1"/>
  <c r="CV139" i="1" s="1"/>
  <c r="U139" i="1" s="1"/>
  <c r="AI139" i="1"/>
  <c r="CW139" i="1" s="1"/>
  <c r="V139" i="1" s="1"/>
  <c r="AJ139" i="1"/>
  <c r="CX139" i="1" s="1"/>
  <c r="W139" i="1" s="1"/>
  <c r="CQ139" i="1"/>
  <c r="P139" i="1" s="1"/>
  <c r="CR139" i="1"/>
  <c r="Q139" i="1" s="1"/>
  <c r="CS139" i="1"/>
  <c r="R139" i="1" s="1"/>
  <c r="GK139" i="1" s="1"/>
  <c r="CT139" i="1"/>
  <c r="S139" i="1" s="1"/>
  <c r="GL139" i="1"/>
  <c r="GN139" i="1"/>
  <c r="GO139" i="1"/>
  <c r="GV139" i="1"/>
  <c r="HC139" i="1"/>
  <c r="GX139" i="1" s="1"/>
  <c r="C140" i="1"/>
  <c r="D140" i="1"/>
  <c r="I140" i="1"/>
  <c r="K140" i="1"/>
  <c r="AC140" i="1"/>
  <c r="AD140" i="1"/>
  <c r="AE140" i="1"/>
  <c r="AF140" i="1"/>
  <c r="AG140" i="1"/>
  <c r="AH140" i="1"/>
  <c r="AI140" i="1"/>
  <c r="CW140" i="1" s="1"/>
  <c r="V140" i="1" s="1"/>
  <c r="AJ140" i="1"/>
  <c r="CX140" i="1" s="1"/>
  <c r="W140" i="1" s="1"/>
  <c r="CQ140" i="1"/>
  <c r="P140" i="1" s="1"/>
  <c r="CR140" i="1"/>
  <c r="Q140" i="1" s="1"/>
  <c r="CS140" i="1"/>
  <c r="R140" i="1" s="1"/>
  <c r="GK140" i="1" s="1"/>
  <c r="CT140" i="1"/>
  <c r="S140" i="1" s="1"/>
  <c r="CU140" i="1"/>
  <c r="T140" i="1" s="1"/>
  <c r="CV140" i="1"/>
  <c r="U140" i="1" s="1"/>
  <c r="GL140" i="1"/>
  <c r="GN140" i="1"/>
  <c r="GO140" i="1"/>
  <c r="GV140" i="1"/>
  <c r="HC140" i="1"/>
  <c r="GX140" i="1" s="1"/>
  <c r="C141" i="1"/>
  <c r="D141" i="1"/>
  <c r="P141" i="1"/>
  <c r="Q141" i="1"/>
  <c r="R141" i="1"/>
  <c r="S141" i="1"/>
  <c r="CY141" i="1" s="1"/>
  <c r="X141" i="1" s="1"/>
  <c r="T141" i="1"/>
  <c r="U141" i="1"/>
  <c r="V141" i="1"/>
  <c r="W141" i="1"/>
  <c r="Y141" i="1"/>
  <c r="AC141" i="1"/>
  <c r="CQ141" i="1" s="1"/>
  <c r="AE141" i="1"/>
  <c r="CR141" i="1" s="1"/>
  <c r="AF141" i="1"/>
  <c r="AG141" i="1"/>
  <c r="AH141" i="1"/>
  <c r="AI141" i="1"/>
  <c r="AJ141" i="1"/>
  <c r="CS141" i="1"/>
  <c r="CT141" i="1"/>
  <c r="CU141" i="1"/>
  <c r="CV141" i="1"/>
  <c r="CW141" i="1"/>
  <c r="CX141" i="1"/>
  <c r="CZ141" i="1"/>
  <c r="GK141" i="1"/>
  <c r="GL141" i="1"/>
  <c r="GN141" i="1"/>
  <c r="GO141" i="1"/>
  <c r="GV141" i="1"/>
  <c r="HC141" i="1"/>
  <c r="GX141" i="1" s="1"/>
  <c r="C142" i="1"/>
  <c r="D142" i="1"/>
  <c r="W142" i="1"/>
  <c r="AC142" i="1"/>
  <c r="AE142" i="1"/>
  <c r="CS142" i="1" s="1"/>
  <c r="R142" i="1" s="1"/>
  <c r="GK142" i="1" s="1"/>
  <c r="AF142" i="1"/>
  <c r="CT142" i="1" s="1"/>
  <c r="S142" i="1" s="1"/>
  <c r="AG142" i="1"/>
  <c r="CU142" i="1" s="1"/>
  <c r="T142" i="1" s="1"/>
  <c r="AH142" i="1"/>
  <c r="CV142" i="1" s="1"/>
  <c r="U142" i="1" s="1"/>
  <c r="AI142" i="1"/>
  <c r="CW142" i="1" s="1"/>
  <c r="V142" i="1" s="1"/>
  <c r="AJ142" i="1"/>
  <c r="CQ142" i="1"/>
  <c r="P142" i="1" s="1"/>
  <c r="CP142" i="1" s="1"/>
  <c r="O142" i="1" s="1"/>
  <c r="CR142" i="1"/>
  <c r="Q142" i="1" s="1"/>
  <c r="CX142" i="1"/>
  <c r="GL142" i="1"/>
  <c r="GN142" i="1"/>
  <c r="GO142" i="1"/>
  <c r="GV142" i="1"/>
  <c r="HC142" i="1"/>
  <c r="GX142" i="1" s="1"/>
  <c r="C143" i="1"/>
  <c r="D143" i="1"/>
  <c r="I143" i="1"/>
  <c r="K143" i="1"/>
  <c r="P143" i="1"/>
  <c r="CP143" i="1" s="1"/>
  <c r="O143" i="1" s="1"/>
  <c r="V143" i="1"/>
  <c r="W143" i="1"/>
  <c r="AC143" i="1"/>
  <c r="CQ143" i="1" s="1"/>
  <c r="AE143" i="1"/>
  <c r="AD143" i="1" s="1"/>
  <c r="AF143" i="1"/>
  <c r="CT143" i="1" s="1"/>
  <c r="S143" i="1" s="1"/>
  <c r="AG143" i="1"/>
  <c r="AH143" i="1"/>
  <c r="AI143" i="1"/>
  <c r="CW143" i="1" s="1"/>
  <c r="AJ143" i="1"/>
  <c r="CX143" i="1" s="1"/>
  <c r="CR143" i="1"/>
  <c r="Q143" i="1" s="1"/>
  <c r="CS143" i="1"/>
  <c r="R143" i="1" s="1"/>
  <c r="CU143" i="1"/>
  <c r="T143" i="1" s="1"/>
  <c r="CV143" i="1"/>
  <c r="U143" i="1" s="1"/>
  <c r="GK143" i="1"/>
  <c r="GL143" i="1"/>
  <c r="GN143" i="1"/>
  <c r="GO143" i="1"/>
  <c r="GV143" i="1"/>
  <c r="HC143" i="1" s="1"/>
  <c r="GX143" i="1"/>
  <c r="I144" i="1"/>
  <c r="AC144" i="1"/>
  <c r="AE144" i="1"/>
  <c r="AD144" i="1" s="1"/>
  <c r="AF144" i="1"/>
  <c r="AG144" i="1"/>
  <c r="CU144" i="1" s="1"/>
  <c r="T144" i="1" s="1"/>
  <c r="AH144" i="1"/>
  <c r="CV144" i="1" s="1"/>
  <c r="U144" i="1" s="1"/>
  <c r="AI144" i="1"/>
  <c r="CW144" i="1" s="1"/>
  <c r="V144" i="1" s="1"/>
  <c r="AJ144" i="1"/>
  <c r="CX144" i="1" s="1"/>
  <c r="W144" i="1" s="1"/>
  <c r="CQ144" i="1"/>
  <c r="P144" i="1" s="1"/>
  <c r="CP144" i="1" s="1"/>
  <c r="O144" i="1" s="1"/>
  <c r="CR144" i="1"/>
  <c r="Q144" i="1" s="1"/>
  <c r="CS144" i="1"/>
  <c r="R144" i="1" s="1"/>
  <c r="GK144" i="1" s="1"/>
  <c r="CT144" i="1"/>
  <c r="S144" i="1" s="1"/>
  <c r="GL144" i="1"/>
  <c r="GN144" i="1"/>
  <c r="GO144" i="1"/>
  <c r="GV144" i="1"/>
  <c r="HC144" i="1"/>
  <c r="GX144" i="1" s="1"/>
  <c r="C145" i="1"/>
  <c r="D145" i="1"/>
  <c r="I145" i="1"/>
  <c r="K145" i="1"/>
  <c r="Q145" i="1"/>
  <c r="R145" i="1"/>
  <c r="GK145" i="1" s="1"/>
  <c r="S145" i="1"/>
  <c r="CY145" i="1" s="1"/>
  <c r="X145" i="1" s="1"/>
  <c r="AC145" i="1"/>
  <c r="AB145" i="1" s="1"/>
  <c r="AD145" i="1"/>
  <c r="AE145" i="1"/>
  <c r="AF145" i="1"/>
  <c r="AG145" i="1"/>
  <c r="AH145" i="1"/>
  <c r="AI145" i="1"/>
  <c r="CW145" i="1" s="1"/>
  <c r="V145" i="1" s="1"/>
  <c r="AJ145" i="1"/>
  <c r="CX145" i="1" s="1"/>
  <c r="W145" i="1" s="1"/>
  <c r="CQ145" i="1"/>
  <c r="P145" i="1" s="1"/>
  <c r="CP145" i="1" s="1"/>
  <c r="O145" i="1" s="1"/>
  <c r="CR145" i="1"/>
  <c r="CS145" i="1"/>
  <c r="CT145" i="1"/>
  <c r="CU145" i="1"/>
  <c r="CV145" i="1"/>
  <c r="U145" i="1" s="1"/>
  <c r="GL145" i="1"/>
  <c r="GN145" i="1"/>
  <c r="GO145" i="1"/>
  <c r="GV145" i="1"/>
  <c r="HC145" i="1"/>
  <c r="C146" i="1"/>
  <c r="D146" i="1"/>
  <c r="P146" i="1"/>
  <c r="Q146" i="1"/>
  <c r="R146" i="1"/>
  <c r="S146" i="1"/>
  <c r="CY146" i="1" s="1"/>
  <c r="X146" i="1" s="1"/>
  <c r="T146" i="1"/>
  <c r="U146" i="1"/>
  <c r="AC146" i="1"/>
  <c r="CQ146" i="1" s="1"/>
  <c r="AE146" i="1"/>
  <c r="AD146" i="1" s="1"/>
  <c r="AF146" i="1"/>
  <c r="AG146" i="1"/>
  <c r="AH146" i="1"/>
  <c r="AI146" i="1"/>
  <c r="AJ146" i="1"/>
  <c r="CR146" i="1"/>
  <c r="CS146" i="1"/>
  <c r="CT146" i="1"/>
  <c r="CU146" i="1"/>
  <c r="CV146" i="1"/>
  <c r="CW146" i="1"/>
  <c r="V146" i="1" s="1"/>
  <c r="CX146" i="1"/>
  <c r="W146" i="1" s="1"/>
  <c r="GK146" i="1"/>
  <c r="GL146" i="1"/>
  <c r="GN146" i="1"/>
  <c r="GO146" i="1"/>
  <c r="GV146" i="1"/>
  <c r="HC146" i="1" s="1"/>
  <c r="GX146" i="1" s="1"/>
  <c r="B148" i="1"/>
  <c r="B128" i="1" s="1"/>
  <c r="C148" i="1"/>
  <c r="D148" i="1"/>
  <c r="F148" i="1"/>
  <c r="G148" i="1"/>
  <c r="G128" i="1" s="1"/>
  <c r="BB148" i="1"/>
  <c r="BC148" i="1"/>
  <c r="BD148" i="1"/>
  <c r="F173" i="1" s="1"/>
  <c r="BX148" i="1"/>
  <c r="BY148" i="1"/>
  <c r="CK148" i="1"/>
  <c r="CK128" i="1" s="1"/>
  <c r="CL148" i="1"/>
  <c r="CM148" i="1"/>
  <c r="B178" i="1"/>
  <c r="B26" i="1" s="1"/>
  <c r="C178" i="1"/>
  <c r="C26" i="1" s="1"/>
  <c r="D178" i="1"/>
  <c r="F178" i="1"/>
  <c r="G178" i="1"/>
  <c r="G26" i="1" s="1"/>
  <c r="B208" i="1"/>
  <c r="C208" i="1"/>
  <c r="D208" i="1"/>
  <c r="F208" i="1"/>
  <c r="G208" i="1"/>
  <c r="G22" i="1" s="1"/>
  <c r="B240" i="1"/>
  <c r="B18" i="1" s="1"/>
  <c r="C240" i="1"/>
  <c r="C18" i="1" s="1"/>
  <c r="D240" i="1"/>
  <c r="F240" i="1"/>
  <c r="G240" i="1"/>
  <c r="G18" i="1" s="1"/>
  <c r="F12" i="6"/>
  <c r="G12" i="6"/>
  <c r="A346" i="7" l="1"/>
  <c r="A146" i="7"/>
  <c r="AF146" i="7"/>
  <c r="K50" i="7"/>
  <c r="P50" i="7"/>
  <c r="K91" i="7"/>
  <c r="P91" i="7"/>
  <c r="K58" i="7"/>
  <c r="P58" i="7"/>
  <c r="K187" i="7"/>
  <c r="P187" i="7"/>
  <c r="K244" i="7"/>
  <c r="P244" i="7"/>
  <c r="I227" i="7"/>
  <c r="K281" i="7"/>
  <c r="P281" i="7"/>
  <c r="K327" i="7"/>
  <c r="P327" i="7"/>
  <c r="I105" i="7"/>
  <c r="K144" i="7"/>
  <c r="P144" i="7"/>
  <c r="K262" i="7"/>
  <c r="P262" i="7"/>
  <c r="I273" i="7"/>
  <c r="K84" i="7"/>
  <c r="P84" i="7"/>
  <c r="K125" i="7"/>
  <c r="P125" i="7"/>
  <c r="K138" i="7"/>
  <c r="P138" i="7"/>
  <c r="P252" i="7"/>
  <c r="I43" i="7"/>
  <c r="K119" i="7"/>
  <c r="P119" i="7"/>
  <c r="I132" i="7"/>
  <c r="I315" i="7"/>
  <c r="K299" i="7"/>
  <c r="P299" i="7"/>
  <c r="K65" i="7"/>
  <c r="P65" i="7"/>
  <c r="I76" i="7"/>
  <c r="I180" i="7"/>
  <c r="I212" i="7"/>
  <c r="K194" i="7"/>
  <c r="P194" i="7"/>
  <c r="I164" i="7"/>
  <c r="I172" i="7"/>
  <c r="I291" i="7"/>
  <c r="I309" i="7"/>
  <c r="I157" i="7"/>
  <c r="I200" i="7"/>
  <c r="K334" i="7"/>
  <c r="P334" i="7"/>
  <c r="K100" i="7"/>
  <c r="P100" i="7"/>
  <c r="K112" i="7"/>
  <c r="P112" i="7"/>
  <c r="I344" i="7"/>
  <c r="K234" i="7"/>
  <c r="P234" i="7"/>
  <c r="CZ132" i="1"/>
  <c r="Y132" i="1" s="1"/>
  <c r="CY132" i="1"/>
  <c r="X132" i="1" s="1"/>
  <c r="GM142" i="1"/>
  <c r="GP142" i="1" s="1"/>
  <c r="CY133" i="1"/>
  <c r="X133" i="1" s="1"/>
  <c r="CZ133" i="1"/>
  <c r="Y133" i="1" s="1"/>
  <c r="CY87" i="1"/>
  <c r="X87" i="1" s="1"/>
  <c r="CZ87" i="1"/>
  <c r="Y87" i="1" s="1"/>
  <c r="GM144" i="1"/>
  <c r="GP144" i="1" s="1"/>
  <c r="CZ140" i="1"/>
  <c r="Y140" i="1" s="1"/>
  <c r="CY140" i="1"/>
  <c r="X140" i="1" s="1"/>
  <c r="CP87" i="1"/>
  <c r="O87" i="1" s="1"/>
  <c r="GM87" i="1" s="1"/>
  <c r="GP87" i="1" s="1"/>
  <c r="AB134" i="1"/>
  <c r="CP140" i="1"/>
  <c r="O140" i="1" s="1"/>
  <c r="GM140" i="1" s="1"/>
  <c r="GP140" i="1" s="1"/>
  <c r="CZ91" i="1"/>
  <c r="Y91" i="1" s="1"/>
  <c r="CY91" i="1"/>
  <c r="X91" i="1" s="1"/>
  <c r="CZ138" i="1"/>
  <c r="Y138" i="1" s="1"/>
  <c r="CY138" i="1"/>
  <c r="X138" i="1" s="1"/>
  <c r="CY38" i="1"/>
  <c r="X38" i="1" s="1"/>
  <c r="CZ38" i="1"/>
  <c r="Y38" i="1" s="1"/>
  <c r="AQ148" i="1"/>
  <c r="BZ128" i="1"/>
  <c r="CY43" i="1"/>
  <c r="X43" i="1" s="1"/>
  <c r="CZ43" i="1"/>
  <c r="Y43" i="1" s="1"/>
  <c r="CP138" i="1"/>
  <c r="O138" i="1" s="1"/>
  <c r="GM138" i="1" s="1"/>
  <c r="GP138" i="1" s="1"/>
  <c r="AS96" i="1"/>
  <c r="CB81" i="1"/>
  <c r="CP91" i="1"/>
  <c r="O91" i="1" s="1"/>
  <c r="CR85" i="1"/>
  <c r="Q85" i="1" s="1"/>
  <c r="CP85" i="1" s="1"/>
  <c r="O85" i="1" s="1"/>
  <c r="GM85" i="1" s="1"/>
  <c r="GP85" i="1" s="1"/>
  <c r="CS85" i="1"/>
  <c r="R85" i="1" s="1"/>
  <c r="GK85" i="1" s="1"/>
  <c r="DF14" i="3"/>
  <c r="DG14" i="3"/>
  <c r="DJ14" i="3" s="1"/>
  <c r="DH14" i="3"/>
  <c r="DI14" i="3"/>
  <c r="DG7" i="3"/>
  <c r="DJ7" i="3" s="1"/>
  <c r="DH7" i="3"/>
  <c r="DI7" i="3"/>
  <c r="CP132" i="1"/>
  <c r="O132" i="1" s="1"/>
  <c r="GM132" i="1" s="1"/>
  <c r="GP132" i="1" s="1"/>
  <c r="AD85" i="1"/>
  <c r="CY37" i="1"/>
  <c r="X37" i="1" s="1"/>
  <c r="GM37" i="1" s="1"/>
  <c r="GP37" i="1" s="1"/>
  <c r="CZ37" i="1"/>
  <c r="Y37" i="1" s="1"/>
  <c r="W35" i="1"/>
  <c r="GX35" i="1"/>
  <c r="DF60" i="3"/>
  <c r="DJ60" i="3" s="1"/>
  <c r="DG60" i="3"/>
  <c r="DH60" i="3"/>
  <c r="DI60" i="3"/>
  <c r="CG96" i="1"/>
  <c r="AQ96" i="1"/>
  <c r="AB86" i="1"/>
  <c r="CQ86" i="1"/>
  <c r="P86" i="1" s="1"/>
  <c r="CP86" i="1" s="1"/>
  <c r="O86" i="1" s="1"/>
  <c r="CZ40" i="1"/>
  <c r="Y40" i="1" s="1"/>
  <c r="CY40" i="1"/>
  <c r="X40" i="1" s="1"/>
  <c r="CR38" i="1"/>
  <c r="Q38" i="1" s="1"/>
  <c r="CS38" i="1"/>
  <c r="R38" i="1" s="1"/>
  <c r="GK38" i="1" s="1"/>
  <c r="DI46" i="3"/>
  <c r="DF46" i="3"/>
  <c r="DJ46" i="3" s="1"/>
  <c r="DG46" i="3"/>
  <c r="DH46" i="3"/>
  <c r="CZ146" i="1"/>
  <c r="Y146" i="1" s="1"/>
  <c r="CY144" i="1"/>
  <c r="X144" i="1" s="1"/>
  <c r="CZ144" i="1"/>
  <c r="Y144" i="1" s="1"/>
  <c r="BY81" i="1"/>
  <c r="CI96" i="1"/>
  <c r="AP96" i="1"/>
  <c r="T87" i="1"/>
  <c r="U87" i="1"/>
  <c r="W87" i="1"/>
  <c r="AB85" i="1"/>
  <c r="CU16" i="3"/>
  <c r="CV16" i="3"/>
  <c r="CX16" i="3"/>
  <c r="AB39" i="1"/>
  <c r="AD38" i="1"/>
  <c r="DF31" i="3"/>
  <c r="DJ31" i="3" s="1"/>
  <c r="DG31" i="3"/>
  <c r="DH31" i="3"/>
  <c r="DI31" i="3"/>
  <c r="W138" i="1"/>
  <c r="AI148" i="1"/>
  <c r="AB92" i="1"/>
  <c r="CQ92" i="1"/>
  <c r="P92" i="1" s="1"/>
  <c r="CP92" i="1" s="1"/>
  <c r="O92" i="1" s="1"/>
  <c r="GM92" i="1" s="1"/>
  <c r="GP92" i="1" s="1"/>
  <c r="AB47" i="1"/>
  <c r="U43" i="1"/>
  <c r="CP38" i="1"/>
  <c r="O38" i="1" s="1"/>
  <c r="GM38" i="1" s="1"/>
  <c r="GP38" i="1" s="1"/>
  <c r="DF4" i="3"/>
  <c r="DJ4" i="3" s="1"/>
  <c r="DG4" i="3"/>
  <c r="DH4" i="3"/>
  <c r="DI4" i="3"/>
  <c r="AJ49" i="1"/>
  <c r="DH27" i="3"/>
  <c r="DG27" i="3"/>
  <c r="DF27" i="3"/>
  <c r="DI27" i="3"/>
  <c r="DJ27" i="3" s="1"/>
  <c r="CP146" i="1"/>
  <c r="O146" i="1" s="1"/>
  <c r="V138" i="1"/>
  <c r="BD81" i="1"/>
  <c r="F121" i="1"/>
  <c r="AB38" i="1"/>
  <c r="CY139" i="1"/>
  <c r="X139" i="1" s="1"/>
  <c r="CZ139" i="1"/>
  <c r="Y139" i="1" s="1"/>
  <c r="U138" i="1"/>
  <c r="AH148" i="1" s="1"/>
  <c r="CY136" i="1"/>
  <c r="X136" i="1" s="1"/>
  <c r="CZ136" i="1"/>
  <c r="Y136" i="1" s="1"/>
  <c r="DF70" i="3"/>
  <c r="DH70" i="3"/>
  <c r="DH48" i="3"/>
  <c r="DI48" i="3"/>
  <c r="DG48" i="3"/>
  <c r="DF48" i="3"/>
  <c r="DJ48" i="3" s="1"/>
  <c r="CY89" i="1"/>
  <c r="X89" i="1" s="1"/>
  <c r="DH26" i="3"/>
  <c r="DI26" i="3"/>
  <c r="DF26" i="3"/>
  <c r="DJ26" i="3" s="1"/>
  <c r="U35" i="1"/>
  <c r="DF35" i="3"/>
  <c r="DJ35" i="3" s="1"/>
  <c r="DG35" i="3"/>
  <c r="DH35" i="3"/>
  <c r="DI35" i="3"/>
  <c r="DG26" i="3"/>
  <c r="AD133" i="1"/>
  <c r="AB133" i="1" s="1"/>
  <c r="CR133" i="1"/>
  <c r="Q133" i="1" s="1"/>
  <c r="CP133" i="1" s="1"/>
  <c r="O133" i="1" s="1"/>
  <c r="GM133" i="1" s="1"/>
  <c r="GP133" i="1" s="1"/>
  <c r="CS133" i="1"/>
  <c r="R133" i="1" s="1"/>
  <c r="GK133" i="1" s="1"/>
  <c r="CC148" i="1"/>
  <c r="F112" i="1"/>
  <c r="W89" i="1"/>
  <c r="T35" i="1"/>
  <c r="CC49" i="1"/>
  <c r="DG72" i="3"/>
  <c r="DH72" i="3"/>
  <c r="DF50" i="3"/>
  <c r="DG50" i="3"/>
  <c r="DJ50" i="3" s="1"/>
  <c r="DH50" i="3"/>
  <c r="DI50" i="3"/>
  <c r="CP139" i="1"/>
  <c r="O139" i="1" s="1"/>
  <c r="BD178" i="1"/>
  <c r="F74" i="1"/>
  <c r="BD30" i="1"/>
  <c r="S35" i="1"/>
  <c r="CB49" i="1"/>
  <c r="CP141" i="1"/>
  <c r="O141" i="1" s="1"/>
  <c r="GM141" i="1" s="1"/>
  <c r="GP141" i="1" s="1"/>
  <c r="F109" i="1"/>
  <c r="BC178" i="1"/>
  <c r="BC30" i="1"/>
  <c r="CZ41" i="1"/>
  <c r="Y41" i="1" s="1"/>
  <c r="R35" i="1"/>
  <c r="GK35" i="1" s="1"/>
  <c r="CW1" i="3"/>
  <c r="CX1" i="3"/>
  <c r="DI65" i="3"/>
  <c r="DJ65" i="3" s="1"/>
  <c r="DF65" i="3"/>
  <c r="DG65" i="3"/>
  <c r="DH65" i="3"/>
  <c r="DG57" i="3"/>
  <c r="DJ57" i="3" s="1"/>
  <c r="DH57" i="3"/>
  <c r="DF57" i="3"/>
  <c r="DI57" i="3"/>
  <c r="CP135" i="1"/>
  <c r="O135" i="1" s="1"/>
  <c r="R89" i="1"/>
  <c r="GK89" i="1" s="1"/>
  <c r="BB30" i="1"/>
  <c r="BB178" i="1"/>
  <c r="CY46" i="1"/>
  <c r="X46" i="1" s="1"/>
  <c r="CZ46" i="1"/>
  <c r="Y46" i="1" s="1"/>
  <c r="Q35" i="1"/>
  <c r="CP35" i="1" s="1"/>
  <c r="O35" i="1" s="1"/>
  <c r="BZ49" i="1"/>
  <c r="Q134" i="1"/>
  <c r="CP134" i="1" s="1"/>
  <c r="O134" i="1" s="1"/>
  <c r="CU49" i="3"/>
  <c r="CV49" i="3"/>
  <c r="S134" i="1"/>
  <c r="AF148" i="1" s="1"/>
  <c r="CX49" i="3"/>
  <c r="T134" i="1"/>
  <c r="AG148" i="1" s="1"/>
  <c r="Q89" i="1"/>
  <c r="CP89" i="1" s="1"/>
  <c r="O89" i="1" s="1"/>
  <c r="GM89" i="1" s="1"/>
  <c r="GP89" i="1" s="1"/>
  <c r="W86" i="1"/>
  <c r="CY33" i="1"/>
  <c r="X33" i="1" s="1"/>
  <c r="CZ33" i="1"/>
  <c r="Y33" i="1" s="1"/>
  <c r="DG67" i="3"/>
  <c r="DH67" i="3"/>
  <c r="DF67" i="3"/>
  <c r="DJ67" i="3" s="1"/>
  <c r="DI67" i="3"/>
  <c r="DH52" i="3"/>
  <c r="DI52" i="3"/>
  <c r="DF52" i="3"/>
  <c r="DG52" i="3"/>
  <c r="DJ52" i="3" s="1"/>
  <c r="DG30" i="3"/>
  <c r="DI30" i="3"/>
  <c r="DJ30" i="3" s="1"/>
  <c r="DH30" i="3"/>
  <c r="CZ135" i="1"/>
  <c r="Y135" i="1" s="1"/>
  <c r="CZ130" i="1"/>
  <c r="Y130" i="1" s="1"/>
  <c r="W94" i="1"/>
  <c r="V87" i="1"/>
  <c r="V86" i="1"/>
  <c r="DI8" i="3"/>
  <c r="DF8" i="3"/>
  <c r="DJ8" i="3" s="1"/>
  <c r="DG8" i="3"/>
  <c r="DH8" i="3"/>
  <c r="BY128" i="1"/>
  <c r="CI148" i="1"/>
  <c r="AP148" i="1"/>
  <c r="CZ145" i="1"/>
  <c r="Y145" i="1" s="1"/>
  <c r="CY142" i="1"/>
  <c r="X142" i="1" s="1"/>
  <c r="CZ142" i="1"/>
  <c r="Y142" i="1" s="1"/>
  <c r="CR138" i="1"/>
  <c r="Q138" i="1" s="1"/>
  <c r="CS138" i="1"/>
  <c r="R138" i="1" s="1"/>
  <c r="GK138" i="1" s="1"/>
  <c r="CP46" i="1"/>
  <c r="O46" i="1" s="1"/>
  <c r="CZ39" i="1"/>
  <c r="Y39" i="1" s="1"/>
  <c r="GM39" i="1" s="1"/>
  <c r="GP39" i="1" s="1"/>
  <c r="DI42" i="3"/>
  <c r="BX128" i="1"/>
  <c r="AO148" i="1"/>
  <c r="CG148" i="1"/>
  <c r="AD138" i="1"/>
  <c r="AB138" i="1" s="1"/>
  <c r="GX134" i="1"/>
  <c r="CJ148" i="1" s="1"/>
  <c r="CY90" i="1"/>
  <c r="X90" i="1" s="1"/>
  <c r="CZ90" i="1"/>
  <c r="Y90" i="1" s="1"/>
  <c r="R87" i="1"/>
  <c r="GK87" i="1" s="1"/>
  <c r="S32" i="1"/>
  <c r="CV54" i="3"/>
  <c r="CX54" i="3"/>
  <c r="DH42" i="3"/>
  <c r="CX3" i="3"/>
  <c r="AD142" i="1"/>
  <c r="AB139" i="1"/>
  <c r="CY131" i="1"/>
  <c r="X131" i="1" s="1"/>
  <c r="CZ131" i="1"/>
  <c r="Y131" i="1" s="1"/>
  <c r="CR90" i="1"/>
  <c r="Q90" i="1" s="1"/>
  <c r="CS90" i="1"/>
  <c r="R90" i="1" s="1"/>
  <c r="GK90" i="1" s="1"/>
  <c r="V89" i="1"/>
  <c r="Q87" i="1"/>
  <c r="AB83" i="1"/>
  <c r="BZ81" i="1"/>
  <c r="F65" i="1"/>
  <c r="CY36" i="1"/>
  <c r="X36" i="1" s="1"/>
  <c r="CZ36" i="1"/>
  <c r="Y36" i="1" s="1"/>
  <c r="R32" i="1"/>
  <c r="DG42" i="3"/>
  <c r="DJ42" i="3" s="1"/>
  <c r="DH34" i="3"/>
  <c r="DI34" i="3"/>
  <c r="DH32" i="3"/>
  <c r="DG32" i="3"/>
  <c r="DF32" i="3"/>
  <c r="DF7" i="3"/>
  <c r="CW3" i="3"/>
  <c r="BC128" i="1"/>
  <c r="F164" i="1"/>
  <c r="CU69" i="3"/>
  <c r="CX69" i="3"/>
  <c r="AB142" i="1"/>
  <c r="AD131" i="1"/>
  <c r="AB131" i="1" s="1"/>
  <c r="CR131" i="1"/>
  <c r="Q131" i="1" s="1"/>
  <c r="CP131" i="1" s="1"/>
  <c r="O131" i="1" s="1"/>
  <c r="GM131" i="1" s="1"/>
  <c r="GP131" i="1" s="1"/>
  <c r="CS131" i="1"/>
  <c r="R131" i="1" s="1"/>
  <c r="GK131" i="1" s="1"/>
  <c r="AD90" i="1"/>
  <c r="AB90" i="1" s="1"/>
  <c r="CZ47" i="1"/>
  <c r="Y47" i="1" s="1"/>
  <c r="CY47" i="1"/>
  <c r="X47" i="1" s="1"/>
  <c r="CY42" i="1"/>
  <c r="X42" i="1" s="1"/>
  <c r="CZ42" i="1"/>
  <c r="Y42" i="1" s="1"/>
  <c r="Q32" i="1"/>
  <c r="DF21" i="3"/>
  <c r="DG21" i="3"/>
  <c r="DH21" i="3"/>
  <c r="DI21" i="3"/>
  <c r="DJ21" i="3" s="1"/>
  <c r="F161" i="1"/>
  <c r="BB128" i="1"/>
  <c r="AB146" i="1"/>
  <c r="T145" i="1"/>
  <c r="T138" i="1"/>
  <c r="CQ90" i="1"/>
  <c r="P90" i="1" s="1"/>
  <c r="CP90" i="1" s="1"/>
  <c r="O90" i="1" s="1"/>
  <c r="CY88" i="1"/>
  <c r="X88" i="1" s="1"/>
  <c r="CZ88" i="1"/>
  <c r="Y88" i="1" s="1"/>
  <c r="CQ47" i="1"/>
  <c r="P47" i="1" s="1"/>
  <c r="CP47" i="1" s="1"/>
  <c r="O47" i="1" s="1"/>
  <c r="CR42" i="1"/>
  <c r="Q42" i="1" s="1"/>
  <c r="CP42" i="1" s="1"/>
  <c r="O42" i="1" s="1"/>
  <c r="GM42" i="1" s="1"/>
  <c r="GP42" i="1" s="1"/>
  <c r="CS42" i="1"/>
  <c r="R42" i="1" s="1"/>
  <c r="GK42" i="1" s="1"/>
  <c r="AD34" i="1"/>
  <c r="AB34" i="1" s="1"/>
  <c r="CR34" i="1"/>
  <c r="Q34" i="1" s="1"/>
  <c r="CP34" i="1" s="1"/>
  <c r="O34" i="1" s="1"/>
  <c r="CS34" i="1"/>
  <c r="R34" i="1" s="1"/>
  <c r="GK34" i="1" s="1"/>
  <c r="CR33" i="1"/>
  <c r="Q33" i="1" s="1"/>
  <c r="CP33" i="1" s="1"/>
  <c r="O33" i="1" s="1"/>
  <c r="GM33" i="1" s="1"/>
  <c r="GP33" i="1" s="1"/>
  <c r="CS33" i="1"/>
  <c r="R33" i="1" s="1"/>
  <c r="GK33" i="1" s="1"/>
  <c r="DF56" i="3"/>
  <c r="DG56" i="3"/>
  <c r="DH56" i="3"/>
  <c r="DI56" i="3"/>
  <c r="DJ56" i="3" s="1"/>
  <c r="AB137" i="1"/>
  <c r="CR136" i="1"/>
  <c r="Q136" i="1" s="1"/>
  <c r="CS136" i="1"/>
  <c r="R136" i="1" s="1"/>
  <c r="GK136" i="1" s="1"/>
  <c r="AB132" i="1"/>
  <c r="AJ148" i="1"/>
  <c r="CR88" i="1"/>
  <c r="Q88" i="1" s="1"/>
  <c r="CS88" i="1"/>
  <c r="R88" i="1" s="1"/>
  <c r="GK88" i="1" s="1"/>
  <c r="CZ84" i="1"/>
  <c r="Y84" i="1" s="1"/>
  <c r="F62" i="1"/>
  <c r="AD42" i="1"/>
  <c r="AB42" i="1" s="1"/>
  <c r="CP36" i="1"/>
  <c r="O36" i="1" s="1"/>
  <c r="GM36" i="1" s="1"/>
  <c r="GP36" i="1" s="1"/>
  <c r="AD33" i="1"/>
  <c r="AB33" i="1" s="1"/>
  <c r="DH19" i="3"/>
  <c r="DI19" i="3"/>
  <c r="DF12" i="3"/>
  <c r="DG12" i="3"/>
  <c r="DH12" i="3"/>
  <c r="DI12" i="3"/>
  <c r="DJ12" i="3" s="1"/>
  <c r="DF10" i="3"/>
  <c r="DJ10" i="3" s="1"/>
  <c r="DG10" i="3"/>
  <c r="DH10" i="3"/>
  <c r="DI10" i="3"/>
  <c r="AD136" i="1"/>
  <c r="AB136" i="1" s="1"/>
  <c r="AD88" i="1"/>
  <c r="AB88" i="1" s="1"/>
  <c r="CC96" i="1"/>
  <c r="R43" i="1"/>
  <c r="GK43" i="1" s="1"/>
  <c r="AD40" i="1"/>
  <c r="AB40" i="1" s="1"/>
  <c r="CR40" i="1"/>
  <c r="Q40" i="1" s="1"/>
  <c r="CS40" i="1"/>
  <c r="R40" i="1" s="1"/>
  <c r="GK40" i="1" s="1"/>
  <c r="CW25" i="3"/>
  <c r="CX25" i="3"/>
  <c r="CP136" i="1"/>
  <c r="O136" i="1" s="1"/>
  <c r="GM136" i="1" s="1"/>
  <c r="GP136" i="1" s="1"/>
  <c r="CP88" i="1"/>
  <c r="O88" i="1" s="1"/>
  <c r="GM88" i="1" s="1"/>
  <c r="GP88" i="1" s="1"/>
  <c r="CY85" i="1"/>
  <c r="X85" i="1" s="1"/>
  <c r="CZ85" i="1"/>
  <c r="Y85" i="1" s="1"/>
  <c r="W84" i="1"/>
  <c r="AJ96" i="1" s="1"/>
  <c r="Q43" i="1"/>
  <c r="CP43" i="1" s="1"/>
  <c r="O43" i="1" s="1"/>
  <c r="GM43" i="1" s="1"/>
  <c r="GP43" i="1" s="1"/>
  <c r="DI70" i="3"/>
  <c r="DJ70" i="3" s="1"/>
  <c r="DG44" i="3"/>
  <c r="DF44" i="3"/>
  <c r="DH44" i="3"/>
  <c r="DI44" i="3"/>
  <c r="DJ44" i="3" s="1"/>
  <c r="CW7" i="3"/>
  <c r="DF5" i="3"/>
  <c r="DH5" i="3"/>
  <c r="DG5" i="3"/>
  <c r="AB144" i="1"/>
  <c r="CB148" i="1"/>
  <c r="GX87" i="1"/>
  <c r="U86" i="1"/>
  <c r="CP40" i="1"/>
  <c r="O40" i="1" s="1"/>
  <c r="GM40" i="1" s="1"/>
  <c r="GP40" i="1" s="1"/>
  <c r="V34" i="1"/>
  <c r="AI49" i="1" s="1"/>
  <c r="DH51" i="3"/>
  <c r="DI51" i="3"/>
  <c r="DJ51" i="3" s="1"/>
  <c r="DF51" i="3"/>
  <c r="CX36" i="3"/>
  <c r="CV36" i="3"/>
  <c r="AB87" i="1"/>
  <c r="T86" i="1"/>
  <c r="S34" i="1"/>
  <c r="DF59" i="3"/>
  <c r="DG59" i="3"/>
  <c r="CW13" i="3"/>
  <c r="CX13" i="3"/>
  <c r="S86" i="1"/>
  <c r="CX9" i="3"/>
  <c r="CV9" i="3"/>
  <c r="GX145" i="1"/>
  <c r="GM145" i="1" s="1"/>
  <c r="GP145" i="1" s="1"/>
  <c r="Q94" i="1"/>
  <c r="DH24" i="3"/>
  <c r="DI24" i="3"/>
  <c r="DJ24" i="3" s="1"/>
  <c r="CU43" i="3"/>
  <c r="CV43" i="3"/>
  <c r="AD94" i="1"/>
  <c r="AB94" i="1" s="1"/>
  <c r="DF64" i="3"/>
  <c r="DG64" i="3"/>
  <c r="DI20" i="3"/>
  <c r="DJ20" i="3" s="1"/>
  <c r="DH20" i="3"/>
  <c r="AB140" i="1"/>
  <c r="CR130" i="1"/>
  <c r="Q130" i="1" s="1"/>
  <c r="CS130" i="1"/>
  <c r="R130" i="1" s="1"/>
  <c r="CP44" i="1"/>
  <c r="O44" i="1" s="1"/>
  <c r="GM44" i="1" s="1"/>
  <c r="GP44" i="1" s="1"/>
  <c r="AD41" i="1"/>
  <c r="AB37" i="1"/>
  <c r="T32" i="1"/>
  <c r="DH62" i="3"/>
  <c r="DI62" i="3"/>
  <c r="DF62" i="3"/>
  <c r="DG62" i="3"/>
  <c r="DJ62" i="3" s="1"/>
  <c r="CY143" i="1"/>
  <c r="X143" i="1" s="1"/>
  <c r="GM143" i="1" s="1"/>
  <c r="GP143" i="1" s="1"/>
  <c r="CZ143" i="1"/>
  <c r="Y143" i="1" s="1"/>
  <c r="AD130" i="1"/>
  <c r="AB130" i="1" s="1"/>
  <c r="CR84" i="1"/>
  <c r="Q84" i="1" s="1"/>
  <c r="CS84" i="1"/>
  <c r="R84" i="1" s="1"/>
  <c r="AD84" i="1"/>
  <c r="AB84" i="1" s="1"/>
  <c r="AB41" i="1"/>
  <c r="CQ41" i="1"/>
  <c r="P41" i="1" s="1"/>
  <c r="CP41" i="1" s="1"/>
  <c r="O41" i="1" s="1"/>
  <c r="GM41" i="1" s="1"/>
  <c r="GP41" i="1" s="1"/>
  <c r="DH39" i="3"/>
  <c r="DI39" i="3"/>
  <c r="DF39" i="3"/>
  <c r="DI37" i="3"/>
  <c r="DJ37" i="3" s="1"/>
  <c r="DG37" i="3"/>
  <c r="DH37" i="3"/>
  <c r="CQ130" i="1"/>
  <c r="P130" i="1" s="1"/>
  <c r="CS36" i="1"/>
  <c r="R36" i="1" s="1"/>
  <c r="GK36" i="1" s="1"/>
  <c r="CR36" i="1"/>
  <c r="Q36" i="1" s="1"/>
  <c r="DF41" i="3"/>
  <c r="DH41" i="3"/>
  <c r="DI41" i="3"/>
  <c r="DJ41" i="3" s="1"/>
  <c r="DG41" i="3"/>
  <c r="AD36" i="1"/>
  <c r="U34" i="1"/>
  <c r="AH49" i="1" s="1"/>
  <c r="AB32" i="1"/>
  <c r="DF71" i="3"/>
  <c r="DG71" i="3"/>
  <c r="DJ71" i="3" s="1"/>
  <c r="CX43" i="3"/>
  <c r="CV18" i="3"/>
  <c r="CX18" i="3"/>
  <c r="AD141" i="1"/>
  <c r="AB141" i="1" s="1"/>
  <c r="GX84" i="1"/>
  <c r="AD46" i="1"/>
  <c r="AB46" i="1" s="1"/>
  <c r="GX43" i="1"/>
  <c r="T34" i="1"/>
  <c r="GX32" i="1"/>
  <c r="DG6" i="3"/>
  <c r="DH6" i="3"/>
  <c r="AB143" i="1"/>
  <c r="CU54" i="3"/>
  <c r="S137" i="1"/>
  <c r="I94" i="1"/>
  <c r="P94" i="1" s="1"/>
  <c r="CX40" i="3"/>
  <c r="CR86" i="1"/>
  <c r="Q86" i="1" s="1"/>
  <c r="CS86" i="1"/>
  <c r="R86" i="1" s="1"/>
  <c r="GK86" i="1" s="1"/>
  <c r="CG49" i="1"/>
  <c r="AO49" i="1"/>
  <c r="AB43" i="1"/>
  <c r="CU6" i="3"/>
  <c r="CV6" i="3"/>
  <c r="AB36" i="1"/>
  <c r="V35" i="1"/>
  <c r="BX30" i="1"/>
  <c r="CV47" i="3"/>
  <c r="CX47" i="3"/>
  <c r="P84" i="1"/>
  <c r="CW38" i="3"/>
  <c r="CX38" i="3"/>
  <c r="CR47" i="1"/>
  <c r="Q47" i="1" s="1"/>
  <c r="CS47" i="1"/>
  <c r="R47" i="1" s="1"/>
  <c r="GK47" i="1" s="1"/>
  <c r="AD134" i="1"/>
  <c r="AD47" i="1"/>
  <c r="CV69" i="3"/>
  <c r="CV2" i="3"/>
  <c r="CX2" i="3"/>
  <c r="DF23" i="3"/>
  <c r="DJ23" i="3" s="1"/>
  <c r="DG23" i="3"/>
  <c r="K172" i="7" l="1"/>
  <c r="P172" i="7"/>
  <c r="P164" i="7"/>
  <c r="K164" i="7"/>
  <c r="K273" i="7"/>
  <c r="P273" i="7"/>
  <c r="K212" i="7"/>
  <c r="P212" i="7"/>
  <c r="K180" i="7"/>
  <c r="P180" i="7"/>
  <c r="K76" i="7"/>
  <c r="P76" i="7"/>
  <c r="K105" i="7"/>
  <c r="P105" i="7"/>
  <c r="K344" i="7"/>
  <c r="P344" i="7"/>
  <c r="K315" i="7"/>
  <c r="P315" i="7"/>
  <c r="P227" i="7"/>
  <c r="I346" i="7" s="1"/>
  <c r="K227" i="7"/>
  <c r="P132" i="7"/>
  <c r="K132" i="7"/>
  <c r="P43" i="7"/>
  <c r="K43" i="7"/>
  <c r="K200" i="7"/>
  <c r="P200" i="7"/>
  <c r="P157" i="7"/>
  <c r="K157" i="7"/>
  <c r="K309" i="7"/>
  <c r="P309" i="7"/>
  <c r="K291" i="7"/>
  <c r="P291" i="7"/>
  <c r="AI30" i="1"/>
  <c r="V49" i="1"/>
  <c r="CJ96" i="1"/>
  <c r="AH30" i="1"/>
  <c r="U49" i="1"/>
  <c r="AG128" i="1"/>
  <c r="T148" i="1"/>
  <c r="AI96" i="1"/>
  <c r="AF128" i="1"/>
  <c r="S148" i="1"/>
  <c r="U148" i="1"/>
  <c r="AH128" i="1"/>
  <c r="CP94" i="1"/>
  <c r="O94" i="1" s="1"/>
  <c r="CJ128" i="1"/>
  <c r="BA148" i="1"/>
  <c r="GM134" i="1"/>
  <c r="GP134" i="1" s="1"/>
  <c r="GM35" i="1"/>
  <c r="GP35" i="1" s="1"/>
  <c r="GM34" i="1"/>
  <c r="GP34" i="1" s="1"/>
  <c r="AJ81" i="1"/>
  <c r="W96" i="1"/>
  <c r="CZ34" i="1"/>
  <c r="Y34" i="1" s="1"/>
  <c r="CY34" i="1"/>
  <c r="X34" i="1" s="1"/>
  <c r="GM135" i="1"/>
  <c r="GP135" i="1" s="1"/>
  <c r="GM139" i="1"/>
  <c r="GP139" i="1" s="1"/>
  <c r="CP84" i="1"/>
  <c r="O84" i="1" s="1"/>
  <c r="AC96" i="1"/>
  <c r="GK130" i="1"/>
  <c r="AE148" i="1"/>
  <c r="DI47" i="3"/>
  <c r="DJ47" i="3" s="1"/>
  <c r="DF47" i="3"/>
  <c r="DG47" i="3"/>
  <c r="DH47" i="3"/>
  <c r="AD148" i="1"/>
  <c r="GM146" i="1"/>
  <c r="GP146" i="1" s="1"/>
  <c r="AP128" i="1"/>
  <c r="F157" i="1"/>
  <c r="DH16" i="3"/>
  <c r="DI16" i="3"/>
  <c r="DJ16" i="3" s="1"/>
  <c r="DF16" i="3"/>
  <c r="DG16" i="3"/>
  <c r="DF3" i="3"/>
  <c r="DG3" i="3"/>
  <c r="DJ3" i="3" s="1"/>
  <c r="DH3" i="3"/>
  <c r="DI3" i="3"/>
  <c r="CI128" i="1"/>
  <c r="AZ148" i="1"/>
  <c r="DF18" i="3"/>
  <c r="DG18" i="3"/>
  <c r="DI18" i="3"/>
  <c r="DJ18" i="3" s="1"/>
  <c r="DH18" i="3"/>
  <c r="DF36" i="3"/>
  <c r="DG36" i="3"/>
  <c r="DH36" i="3"/>
  <c r="DI36" i="3"/>
  <c r="DJ36" i="3" s="1"/>
  <c r="AD49" i="1"/>
  <c r="DF54" i="3"/>
  <c r="DG54" i="3"/>
  <c r="DH54" i="3"/>
  <c r="DI54" i="3"/>
  <c r="DJ54" i="3" s="1"/>
  <c r="AQ81" i="1"/>
  <c r="F106" i="1"/>
  <c r="DF43" i="3"/>
  <c r="DG43" i="3"/>
  <c r="DH43" i="3"/>
  <c r="DI43" i="3"/>
  <c r="DJ43" i="3" s="1"/>
  <c r="CC30" i="1"/>
  <c r="AT49" i="1"/>
  <c r="W49" i="1"/>
  <c r="AJ30" i="1"/>
  <c r="AX96" i="1"/>
  <c r="CG81" i="1"/>
  <c r="GM91" i="1"/>
  <c r="GP91" i="1" s="1"/>
  <c r="GK84" i="1"/>
  <c r="AE96" i="1"/>
  <c r="CY32" i="1"/>
  <c r="X32" i="1" s="1"/>
  <c r="AF49" i="1"/>
  <c r="CZ32" i="1"/>
  <c r="Y32" i="1" s="1"/>
  <c r="AD96" i="1"/>
  <c r="AE49" i="1"/>
  <c r="GK32" i="1"/>
  <c r="DF49" i="3"/>
  <c r="DG49" i="3"/>
  <c r="DH49" i="3"/>
  <c r="DI49" i="3"/>
  <c r="DJ49" i="3" s="1"/>
  <c r="DF1" i="3"/>
  <c r="DG1" i="3"/>
  <c r="DJ1" i="3" s="1"/>
  <c r="DH1" i="3"/>
  <c r="DI1" i="3"/>
  <c r="AS81" i="1"/>
  <c r="F113" i="1"/>
  <c r="AO30" i="1"/>
  <c r="AO178" i="1"/>
  <c r="F53" i="1"/>
  <c r="DF25" i="3"/>
  <c r="DG25" i="3"/>
  <c r="DJ25" i="3" s="1"/>
  <c r="DH25" i="3"/>
  <c r="DI25" i="3"/>
  <c r="CY134" i="1"/>
  <c r="X134" i="1" s="1"/>
  <c r="AK148" i="1" s="1"/>
  <c r="CZ134" i="1"/>
  <c r="Y134" i="1" s="1"/>
  <c r="AL148" i="1" s="1"/>
  <c r="AP81" i="1"/>
  <c r="F105" i="1"/>
  <c r="AP178" i="1"/>
  <c r="CG30" i="1"/>
  <c r="AX49" i="1"/>
  <c r="AT148" i="1"/>
  <c r="CC128" i="1"/>
  <c r="CI81" i="1"/>
  <c r="AZ96" i="1"/>
  <c r="DF2" i="3"/>
  <c r="DG2" i="3"/>
  <c r="DH2" i="3"/>
  <c r="DI2" i="3"/>
  <c r="DJ2" i="3" s="1"/>
  <c r="GM47" i="1"/>
  <c r="GP47" i="1" s="1"/>
  <c r="AS148" i="1"/>
  <c r="CB128" i="1"/>
  <c r="DF40" i="3"/>
  <c r="DJ40" i="3" s="1"/>
  <c r="DG40" i="3"/>
  <c r="DH40" i="3"/>
  <c r="DI40" i="3"/>
  <c r="CG128" i="1"/>
  <c r="AX148" i="1"/>
  <c r="AQ49" i="1"/>
  <c r="CI49" i="1"/>
  <c r="BZ30" i="1"/>
  <c r="BC26" i="1"/>
  <c r="BC208" i="1"/>
  <c r="F194" i="1"/>
  <c r="V94" i="1"/>
  <c r="GX94" i="1"/>
  <c r="S94" i="1"/>
  <c r="T94" i="1"/>
  <c r="AG96" i="1" s="1"/>
  <c r="U94" i="1"/>
  <c r="AH96" i="1" s="1"/>
  <c r="F152" i="1"/>
  <c r="AO128" i="1"/>
  <c r="CY137" i="1"/>
  <c r="X137" i="1" s="1"/>
  <c r="CZ137" i="1"/>
  <c r="Y137" i="1" s="1"/>
  <c r="DI9" i="3"/>
  <c r="DJ9" i="3" s="1"/>
  <c r="DG9" i="3"/>
  <c r="DH9" i="3"/>
  <c r="DF9" i="3"/>
  <c r="GM90" i="1"/>
  <c r="GP90" i="1" s="1"/>
  <c r="CZ86" i="1"/>
  <c r="Y86" i="1" s="1"/>
  <c r="AF96" i="1"/>
  <c r="CY86" i="1"/>
  <c r="X86" i="1" s="1"/>
  <c r="AJ128" i="1"/>
  <c r="W148" i="1"/>
  <c r="CB30" i="1"/>
  <c r="AS49" i="1"/>
  <c r="AI128" i="1"/>
  <c r="V148" i="1"/>
  <c r="AQ128" i="1"/>
  <c r="F158" i="1"/>
  <c r="AG49" i="1"/>
  <c r="DG13" i="3"/>
  <c r="DJ13" i="3" s="1"/>
  <c r="DH13" i="3"/>
  <c r="DF13" i="3"/>
  <c r="DI13" i="3"/>
  <c r="AT96" i="1"/>
  <c r="CC81" i="1"/>
  <c r="BB26" i="1"/>
  <c r="BB208" i="1"/>
  <c r="F191" i="1"/>
  <c r="CY35" i="1"/>
  <c r="X35" i="1" s="1"/>
  <c r="CZ35" i="1"/>
  <c r="Y35" i="1" s="1"/>
  <c r="CP130" i="1"/>
  <c r="O130" i="1" s="1"/>
  <c r="AC148" i="1"/>
  <c r="DI69" i="3"/>
  <c r="DJ69" i="3" s="1"/>
  <c r="DF69" i="3"/>
  <c r="DG69" i="3"/>
  <c r="DH69" i="3"/>
  <c r="R94" i="1"/>
  <c r="GK94" i="1" s="1"/>
  <c r="GM46" i="1"/>
  <c r="GP46" i="1" s="1"/>
  <c r="CP137" i="1"/>
  <c r="O137" i="1" s="1"/>
  <c r="CP32" i="1"/>
  <c r="O32" i="1" s="1"/>
  <c r="DF38" i="3"/>
  <c r="DG38" i="3"/>
  <c r="DJ38" i="3" s="1"/>
  <c r="DH38" i="3"/>
  <c r="DI38" i="3"/>
  <c r="CJ49" i="1"/>
  <c r="BD26" i="1"/>
  <c r="F203" i="1"/>
  <c r="BD208" i="1"/>
  <c r="AC49" i="1"/>
  <c r="I214" i="7" l="1"/>
  <c r="I352" i="7"/>
  <c r="I146" i="7"/>
  <c r="I349" i="7"/>
  <c r="I357" i="7"/>
  <c r="AL128" i="1"/>
  <c r="Y148" i="1"/>
  <c r="AL96" i="1"/>
  <c r="U96" i="1"/>
  <c r="AH81" i="1"/>
  <c r="AG81" i="1"/>
  <c r="T96" i="1"/>
  <c r="AX178" i="1"/>
  <c r="AX30" i="1"/>
  <c r="F56" i="1"/>
  <c r="F172" i="1"/>
  <c r="W128" i="1"/>
  <c r="AZ49" i="1"/>
  <c r="CI30" i="1"/>
  <c r="AP208" i="1"/>
  <c r="AP26" i="1"/>
  <c r="F187" i="1"/>
  <c r="AC128" i="1"/>
  <c r="CE148" i="1"/>
  <c r="CH148" i="1"/>
  <c r="P148" i="1"/>
  <c r="CF148" i="1"/>
  <c r="F59" i="1"/>
  <c r="AQ178" i="1"/>
  <c r="AQ30" i="1"/>
  <c r="AE30" i="1"/>
  <c r="R49" i="1"/>
  <c r="BA128" i="1"/>
  <c r="F168" i="1"/>
  <c r="GM130" i="1"/>
  <c r="AB148" i="1"/>
  <c r="AF81" i="1"/>
  <c r="S96" i="1"/>
  <c r="F155" i="1"/>
  <c r="AX128" i="1"/>
  <c r="AD81" i="1"/>
  <c r="Q96" i="1"/>
  <c r="AL49" i="1"/>
  <c r="AD30" i="1"/>
  <c r="Q49" i="1"/>
  <c r="AK128" i="1"/>
  <c r="X148" i="1"/>
  <c r="AF30" i="1"/>
  <c r="S49" i="1"/>
  <c r="AD128" i="1"/>
  <c r="Q148" i="1"/>
  <c r="AK49" i="1"/>
  <c r="U128" i="1"/>
  <c r="F170" i="1"/>
  <c r="CF49" i="1"/>
  <c r="CE49" i="1"/>
  <c r="CH49" i="1"/>
  <c r="AC30" i="1"/>
  <c r="P49" i="1"/>
  <c r="BB22" i="1"/>
  <c r="F221" i="1"/>
  <c r="BB240" i="1"/>
  <c r="R96" i="1"/>
  <c r="AE81" i="1"/>
  <c r="F163" i="1"/>
  <c r="S128" i="1"/>
  <c r="F233" i="1"/>
  <c r="BD22" i="1"/>
  <c r="BD240" i="1"/>
  <c r="AI81" i="1"/>
  <c r="V96" i="1"/>
  <c r="AT81" i="1"/>
  <c r="F114" i="1"/>
  <c r="AE128" i="1"/>
  <c r="R148" i="1"/>
  <c r="T128" i="1"/>
  <c r="F169" i="1"/>
  <c r="CJ30" i="1"/>
  <c r="BA49" i="1"/>
  <c r="AS128" i="1"/>
  <c r="F165" i="1"/>
  <c r="AO208" i="1"/>
  <c r="AO26" i="1"/>
  <c r="F182" i="1"/>
  <c r="AX81" i="1"/>
  <c r="F103" i="1"/>
  <c r="CE96" i="1"/>
  <c r="AC81" i="1"/>
  <c r="CF96" i="1"/>
  <c r="CH96" i="1"/>
  <c r="P96" i="1"/>
  <c r="F71" i="1"/>
  <c r="U30" i="1"/>
  <c r="W178" i="1"/>
  <c r="F73" i="1"/>
  <c r="W30" i="1"/>
  <c r="GM86" i="1"/>
  <c r="GP86" i="1" s="1"/>
  <c r="GM84" i="1"/>
  <c r="AB96" i="1"/>
  <c r="F67" i="1"/>
  <c r="AT178" i="1"/>
  <c r="AT30" i="1"/>
  <c r="AZ128" i="1"/>
  <c r="F159" i="1"/>
  <c r="CJ81" i="1"/>
  <c r="BA96" i="1"/>
  <c r="AG30" i="1"/>
  <c r="T49" i="1"/>
  <c r="AB49" i="1"/>
  <c r="GM32" i="1"/>
  <c r="CY94" i="1"/>
  <c r="X94" i="1" s="1"/>
  <c r="AK96" i="1" s="1"/>
  <c r="CZ94" i="1"/>
  <c r="Y94" i="1" s="1"/>
  <c r="GM137" i="1"/>
  <c r="GP137" i="1" s="1"/>
  <c r="AZ81" i="1"/>
  <c r="F107" i="1"/>
  <c r="F171" i="1"/>
  <c r="V128" i="1"/>
  <c r="F72" i="1"/>
  <c r="V30" i="1"/>
  <c r="V178" i="1"/>
  <c r="F120" i="1"/>
  <c r="W81" i="1"/>
  <c r="AS30" i="1"/>
  <c r="F66" i="1"/>
  <c r="AS178" i="1"/>
  <c r="BC22" i="1"/>
  <c r="BC240" i="1"/>
  <c r="F224" i="1"/>
  <c r="F166" i="1"/>
  <c r="AT128" i="1"/>
  <c r="AK81" i="1" l="1"/>
  <c r="X96" i="1"/>
  <c r="CH81" i="1"/>
  <c r="AY96" i="1"/>
  <c r="CH128" i="1"/>
  <c r="AY148" i="1"/>
  <c r="CA49" i="1"/>
  <c r="GP32" i="1"/>
  <c r="CD49" i="1" s="1"/>
  <c r="AW96" i="1"/>
  <c r="CF81" i="1"/>
  <c r="GM94" i="1"/>
  <c r="GP94" i="1" s="1"/>
  <c r="CE128" i="1"/>
  <c r="AV148" i="1"/>
  <c r="O49" i="1"/>
  <c r="AB30" i="1"/>
  <c r="Q30" i="1"/>
  <c r="Q178" i="1"/>
  <c r="F61" i="1"/>
  <c r="T30" i="1"/>
  <c r="F70" i="1"/>
  <c r="T178" i="1"/>
  <c r="AV96" i="1"/>
  <c r="CE81" i="1"/>
  <c r="AL30" i="1"/>
  <c r="Y49" i="1"/>
  <c r="BA81" i="1"/>
  <c r="F116" i="1"/>
  <c r="R81" i="1"/>
  <c r="F110" i="1"/>
  <c r="F108" i="1"/>
  <c r="Q81" i="1"/>
  <c r="AP240" i="1"/>
  <c r="AP22" i="1"/>
  <c r="F217" i="1"/>
  <c r="G16" i="2" s="1"/>
  <c r="F256" i="1"/>
  <c r="BC18" i="1"/>
  <c r="F253" i="1"/>
  <c r="BB18" i="1"/>
  <c r="AZ178" i="1"/>
  <c r="F60" i="1"/>
  <c r="AZ30" i="1"/>
  <c r="AS208" i="1"/>
  <c r="AS26" i="1"/>
  <c r="F195" i="1"/>
  <c r="AO22" i="1"/>
  <c r="AO240" i="1"/>
  <c r="F212" i="1"/>
  <c r="P30" i="1"/>
  <c r="F52" i="1"/>
  <c r="P178" i="1"/>
  <c r="F111" i="1"/>
  <c r="S81" i="1"/>
  <c r="AT208" i="1"/>
  <c r="F196" i="1"/>
  <c r="AT26" i="1"/>
  <c r="F69" i="1"/>
  <c r="BA178" i="1"/>
  <c r="BA30" i="1"/>
  <c r="CH30" i="1"/>
  <c r="AY49" i="1"/>
  <c r="AB128" i="1"/>
  <c r="O148" i="1"/>
  <c r="O96" i="1"/>
  <c r="AB81" i="1"/>
  <c r="CE30" i="1"/>
  <c r="AV49" i="1"/>
  <c r="GP130" i="1"/>
  <c r="CD148" i="1" s="1"/>
  <c r="CA148" i="1"/>
  <c r="AX208" i="1"/>
  <c r="AX26" i="1"/>
  <c r="F185" i="1"/>
  <c r="F201" i="1"/>
  <c r="V26" i="1"/>
  <c r="V208" i="1"/>
  <c r="GP84" i="1"/>
  <c r="CF30" i="1"/>
  <c r="AW49" i="1"/>
  <c r="F117" i="1"/>
  <c r="T81" i="1"/>
  <c r="F162" i="1"/>
  <c r="R128" i="1"/>
  <c r="R178" i="1"/>
  <c r="F63" i="1"/>
  <c r="R30" i="1"/>
  <c r="AK30" i="1"/>
  <c r="X49" i="1"/>
  <c r="U81" i="1"/>
  <c r="F118" i="1"/>
  <c r="F202" i="1"/>
  <c r="W26" i="1"/>
  <c r="W208" i="1"/>
  <c r="Q128" i="1"/>
  <c r="F160" i="1"/>
  <c r="AL81" i="1"/>
  <c r="Y96" i="1"/>
  <c r="U178" i="1"/>
  <c r="AQ208" i="1"/>
  <c r="AQ26" i="1"/>
  <c r="F188" i="1"/>
  <c r="F175" i="1"/>
  <c r="Y128" i="1"/>
  <c r="V81" i="1"/>
  <c r="F119" i="1"/>
  <c r="S178" i="1"/>
  <c r="F64" i="1"/>
  <c r="S30" i="1"/>
  <c r="CF128" i="1"/>
  <c r="AW148" i="1"/>
  <c r="F99" i="1"/>
  <c r="P81" i="1"/>
  <c r="BD18" i="1"/>
  <c r="F265" i="1"/>
  <c r="F174" i="1"/>
  <c r="X128" i="1"/>
  <c r="F151" i="1"/>
  <c r="P128" i="1"/>
  <c r="F154" i="1" l="1"/>
  <c r="AW128" i="1"/>
  <c r="F75" i="1"/>
  <c r="X30" i="1"/>
  <c r="X178" i="1"/>
  <c r="T26" i="1"/>
  <c r="F199" i="1"/>
  <c r="T208" i="1"/>
  <c r="AS22" i="1"/>
  <c r="AS240" i="1"/>
  <c r="F225" i="1"/>
  <c r="E16" i="2" s="1"/>
  <c r="F98" i="1"/>
  <c r="O81" i="1"/>
  <c r="F150" i="1"/>
  <c r="O128" i="1"/>
  <c r="S26" i="1"/>
  <c r="F193" i="1"/>
  <c r="S208" i="1"/>
  <c r="R26" i="1"/>
  <c r="F192" i="1"/>
  <c r="R208" i="1"/>
  <c r="AZ26" i="1"/>
  <c r="AZ208" i="1"/>
  <c r="F189" i="1"/>
  <c r="Q26" i="1"/>
  <c r="F190" i="1"/>
  <c r="Q208" i="1"/>
  <c r="AY178" i="1"/>
  <c r="AY30" i="1"/>
  <c r="F57" i="1"/>
  <c r="F51" i="1"/>
  <c r="O30" i="1"/>
  <c r="O178" i="1"/>
  <c r="BA26" i="1"/>
  <c r="F198" i="1"/>
  <c r="BA208" i="1"/>
  <c r="F153" i="1"/>
  <c r="AV128" i="1"/>
  <c r="F55" i="1"/>
  <c r="AW178" i="1"/>
  <c r="AW30" i="1"/>
  <c r="F218" i="1"/>
  <c r="AQ240" i="1"/>
  <c r="AQ22" i="1"/>
  <c r="CA96" i="1"/>
  <c r="AP18" i="1"/>
  <c r="F249" i="1"/>
  <c r="U26" i="1"/>
  <c r="F200" i="1"/>
  <c r="U208" i="1"/>
  <c r="CD96" i="1"/>
  <c r="AT22" i="1"/>
  <c r="F226" i="1"/>
  <c r="F16" i="2" s="1"/>
  <c r="AT240" i="1"/>
  <c r="AW81" i="1"/>
  <c r="F102" i="1"/>
  <c r="F123" i="1"/>
  <c r="Y81" i="1"/>
  <c r="V22" i="1"/>
  <c r="V240" i="1"/>
  <c r="F231" i="1"/>
  <c r="CD30" i="1"/>
  <c r="AU49" i="1"/>
  <c r="CA30" i="1"/>
  <c r="AR49" i="1"/>
  <c r="F181" i="1"/>
  <c r="P26" i="1"/>
  <c r="P208" i="1"/>
  <c r="AY128" i="1"/>
  <c r="F156" i="1"/>
  <c r="W22" i="1"/>
  <c r="W240" i="1"/>
  <c r="F232" i="1"/>
  <c r="F104" i="1"/>
  <c r="AY81" i="1"/>
  <c r="AX240" i="1"/>
  <c r="AX22" i="1"/>
  <c r="F215" i="1"/>
  <c r="F76" i="1"/>
  <c r="Y30" i="1"/>
  <c r="Y178" i="1"/>
  <c r="AR148" i="1"/>
  <c r="CA128" i="1"/>
  <c r="AO18" i="1"/>
  <c r="F244" i="1"/>
  <c r="F122" i="1"/>
  <c r="X81" i="1"/>
  <c r="AU148" i="1"/>
  <c r="CD128" i="1"/>
  <c r="AV178" i="1"/>
  <c r="AV30" i="1"/>
  <c r="F54" i="1"/>
  <c r="AV81" i="1"/>
  <c r="F101" i="1"/>
  <c r="F68" i="1" l="1"/>
  <c r="AU30" i="1"/>
  <c r="AW208" i="1"/>
  <c r="AW26" i="1"/>
  <c r="F184" i="1"/>
  <c r="S22" i="1"/>
  <c r="S240" i="1"/>
  <c r="F223" i="1"/>
  <c r="J16" i="2" s="1"/>
  <c r="F176" i="1"/>
  <c r="AR128" i="1"/>
  <c r="V18" i="1"/>
  <c r="F263" i="1"/>
  <c r="F205" i="1"/>
  <c r="Y26" i="1"/>
  <c r="Y208" i="1"/>
  <c r="BA240" i="1"/>
  <c r="F228" i="1"/>
  <c r="BA22" i="1"/>
  <c r="F180" i="1"/>
  <c r="O26" i="1"/>
  <c r="O208" i="1"/>
  <c r="F247" i="1"/>
  <c r="AX18" i="1"/>
  <c r="F258" i="1"/>
  <c r="AT18" i="1"/>
  <c r="F257" i="1"/>
  <c r="AS18" i="1"/>
  <c r="T240" i="1"/>
  <c r="F229" i="1"/>
  <c r="T22" i="1"/>
  <c r="AU96" i="1"/>
  <c r="CD81" i="1"/>
  <c r="W18" i="1"/>
  <c r="F264" i="1"/>
  <c r="U240" i="1"/>
  <c r="F230" i="1"/>
  <c r="U22" i="1"/>
  <c r="AY26" i="1"/>
  <c r="AY208" i="1"/>
  <c r="F186" i="1"/>
  <c r="F220" i="1"/>
  <c r="Q240" i="1"/>
  <c r="Q22" i="1"/>
  <c r="F204" i="1"/>
  <c r="X26" i="1"/>
  <c r="X208" i="1"/>
  <c r="F183" i="1"/>
  <c r="AV208" i="1"/>
  <c r="AV26" i="1"/>
  <c r="P240" i="1"/>
  <c r="P22" i="1"/>
  <c r="F211" i="1"/>
  <c r="CA81" i="1"/>
  <c r="AR96" i="1"/>
  <c r="F219" i="1"/>
  <c r="AZ240" i="1"/>
  <c r="AZ22" i="1"/>
  <c r="F167" i="1"/>
  <c r="AU128" i="1"/>
  <c r="F77" i="1"/>
  <c r="AR178" i="1"/>
  <c r="AR30" i="1"/>
  <c r="AQ18" i="1"/>
  <c r="F250" i="1"/>
  <c r="R22" i="1"/>
  <c r="F222" i="1"/>
  <c r="R240" i="1"/>
  <c r="AR208" i="1" l="1"/>
  <c r="AR26" i="1"/>
  <c r="F206" i="1"/>
  <c r="AY240" i="1"/>
  <c r="AY22" i="1"/>
  <c r="F216" i="1"/>
  <c r="BA18" i="1"/>
  <c r="F260" i="1"/>
  <c r="Y22" i="1"/>
  <c r="Y240" i="1"/>
  <c r="F235" i="1"/>
  <c r="U18" i="1"/>
  <c r="F262" i="1"/>
  <c r="AZ18" i="1"/>
  <c r="F251" i="1"/>
  <c r="F124" i="1"/>
  <c r="AR81" i="1"/>
  <c r="F115" i="1"/>
  <c r="AU81" i="1"/>
  <c r="P18" i="1"/>
  <c r="F243" i="1"/>
  <c r="T18" i="1"/>
  <c r="F261" i="1"/>
  <c r="S18" i="1"/>
  <c r="F255" i="1"/>
  <c r="AV22" i="1"/>
  <c r="F213" i="1"/>
  <c r="AV240" i="1"/>
  <c r="X22" i="1"/>
  <c r="X240" i="1"/>
  <c r="F234" i="1"/>
  <c r="AW240" i="1"/>
  <c r="AW22" i="1"/>
  <c r="F214" i="1"/>
  <c r="R18" i="1"/>
  <c r="F254" i="1"/>
  <c r="AU178" i="1"/>
  <c r="Q18" i="1"/>
  <c r="F252" i="1"/>
  <c r="O240" i="1"/>
  <c r="O22" i="1"/>
  <c r="F210" i="1"/>
  <c r="O18" i="1" l="1"/>
  <c r="F242" i="1"/>
  <c r="F197" i="1"/>
  <c r="AU208" i="1"/>
  <c r="AU26" i="1"/>
  <c r="AW18" i="1"/>
  <c r="F246" i="1"/>
  <c r="Y18" i="1"/>
  <c r="F267" i="1"/>
  <c r="X18" i="1"/>
  <c r="F266" i="1"/>
  <c r="AV18" i="1"/>
  <c r="F245" i="1"/>
  <c r="AY18" i="1"/>
  <c r="F248" i="1"/>
  <c r="AR240" i="1"/>
  <c r="AR22" i="1"/>
  <c r="F236" i="1"/>
  <c r="F238" i="1" l="1"/>
  <c r="AR18" i="1"/>
  <c r="F268" i="1"/>
  <c r="F269" i="1" s="1"/>
  <c r="AU22" i="1"/>
  <c r="F227" i="1"/>
  <c r="H16" i="2" s="1"/>
  <c r="I16" i="2" s="1"/>
  <c r="N16" i="2" s="1"/>
  <c r="AU240" i="1"/>
  <c r="F259" i="1" l="1"/>
  <c r="AU18" i="1"/>
  <c r="F271" i="1"/>
  <c r="I360" i="7" s="1"/>
</calcChain>
</file>

<file path=xl/sharedStrings.xml><?xml version="1.0" encoding="utf-8"?>
<sst xmlns="http://schemas.openxmlformats.org/spreadsheetml/2006/main" count="4491" uniqueCount="371">
  <si>
    <t>Smeta.RU Flash  (495) 974-1589</t>
  </si>
  <si>
    <t>_PS_</t>
  </si>
  <si>
    <t>Smeta.RU Flash</t>
  </si>
  <si>
    <t/>
  </si>
  <si>
    <t>Новый объект</t>
  </si>
  <si>
    <t>Зона 3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</si>
  <si>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</si>
  <si>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</si>
  <si>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</si>
  <si>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</si>
  <si>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</si>
  <si>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</si>
  <si>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</si>
  <si>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Локальная смета: Зона №3</t>
  </si>
  <si>
    <t>Новый раздел</t>
  </si>
  <si>
    <t>Раздел: Основная зона</t>
  </si>
  <si>
    <t>Новый подраздел</t>
  </si>
  <si>
    <t>1</t>
  </si>
  <si>
    <t>5.3-1102-12-1/1</t>
  </si>
  <si>
    <t>Уборка снега средствами малой механизации</t>
  </si>
  <si>
    <t>1000 м2</t>
  </si>
  <si>
    <t>СН-2012.5 Выпуск № 5 (в текущих ценах по состоянию на 01.10.2025 г.). 5.3-1102-12-1/1</t>
  </si>
  <si>
    <t>)*55</t>
  </si>
  <si>
    <t>СН-2012</t>
  </si>
  <si>
    <t>Подрядные работы, гл. 1-5,7</t>
  </si>
  <si>
    <t>работа</t>
  </si>
  <si>
    <t>2</t>
  </si>
  <si>
    <t>5.3-1102-8-1/1</t>
  </si>
  <si>
    <t>Уборка свежевыпавшего снега вручную толщиной слоя до 10 см</t>
  </si>
  <si>
    <t>100 м2</t>
  </si>
  <si>
    <t>СН-2012.5 Выпуск № 5 (в текущих ценах по состоянию на 01.10.2025 г.). 5.3-1102-8-1/1</t>
  </si>
  <si>
    <t>3</t>
  </si>
  <si>
    <t>5.3-1101-15-1/1</t>
  </si>
  <si>
    <t>Подметание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</si>
  <si>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5.3-1101-15-1/1</t>
  </si>
  <si>
    <t>)*111</t>
  </si>
  <si>
    <t>3,1</t>
  </si>
  <si>
    <t>21.1-25-13</t>
  </si>
  <si>
    <t>Вода</t>
  </si>
  <si>
    <t>м3</t>
  </si>
  <si>
    <t>СН-2012.21 Выпуск № 5 (в текущих ценах по состоянию на 01.10.2025 г.). 21.1-25-13</t>
  </si>
  <si>
    <t>4</t>
  </si>
  <si>
    <t>5.3-1101-13-1/1</t>
  </si>
  <si>
    <t>Подметание вручную дорожек и площадок с твердым покрытием</t>
  </si>
  <si>
    <t>СН-2012.5 Выпуск № 5 (в текущих ценах по состоянию на 01.10.2025 г.). 5.3-1101-13-1/1</t>
  </si>
  <si>
    <t>5</t>
  </si>
  <si>
    <t>5.3-1102-13-3/1</t>
  </si>
  <si>
    <t>Посыпка противогололедными реагентами дорожных покрытий средствами малой механизации</t>
  </si>
  <si>
    <t>СН-2012.5 Выпуск № 5 (в текущих ценах по состоянию на 01.10.2025 г.). 5.3-1102-13-3/1</t>
  </si>
  <si>
    <t>)*50</t>
  </si>
  <si>
    <t>6</t>
  </si>
  <si>
    <t>5.3-1102-10-3/1</t>
  </si>
  <si>
    <t>Посыпка противогололедными реагентами ХКНтв дорожных покрытий вручную</t>
  </si>
  <si>
    <t>СН-2012.5 Выпуск № 5 (в текущих ценах по состоянию на 01.10.2025 г.). 5.3-1102-10-3/1</t>
  </si>
  <si>
    <t>7</t>
  </si>
  <si>
    <t>5.3-1102-9-1/1</t>
  </si>
  <si>
    <t>Колка льда на обледеневших покрытиях вручную</t>
  </si>
  <si>
    <t>СН-2012.5 Выпуск № 5 (в текущих ценах по состоянию на 01.10.2025 г.). 5.3-1102-9-1/1</t>
  </si>
  <si>
    <t>)*20</t>
  </si>
  <si>
    <t>8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</si>
  <si>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</si>
  <si>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</t>
  </si>
  <si>
    <t>СН-2012.5 Выпуск № 5 (в текущих ценах по состоянию на 01.10.2025 г.). 5.3-1102-25-1/1</t>
  </si>
  <si>
    <t>9</t>
  </si>
  <si>
    <t>5.3-1102-14-1/1</t>
  </si>
  <si>
    <t>Погрузка снега средствами малой механизации</t>
  </si>
  <si>
    <t>СН-2012.5 Выпуск № 5 (в текущих ценах по состоянию на 01.10.2025 г.). 5.3-1102-14-1/1</t>
  </si>
  <si>
    <t>10</t>
  </si>
  <si>
    <t>5.3-1101-13-2/1</t>
  </si>
  <si>
    <t>Подметание вручную дорожек и площадок с грунтовым и щебеночным покрытием</t>
  </si>
  <si>
    <t>СН-2012.5 Выпуск № 5 (в текущих ценах по состоянию на 01.10.2025 г.). 5.3-1101-13-2/1</t>
  </si>
  <si>
    <t>11</t>
  </si>
  <si>
    <t>5.3-1102-23-1/1</t>
  </si>
  <si>
    <t>Уборка от снега деревянного настила - амфитеатра, тротуаров, лестниц, экотроп</t>
  </si>
  <si>
    <t>100 м2 горизонтальной проекции</t>
  </si>
  <si>
    <t>СН-2012.5 Выпуск № 5 (в текущих ценах по состоянию на 01.10.2025 г.). 5.3-1102-23-1/1</t>
  </si>
  <si>
    <t>12</t>
  </si>
  <si>
    <t>5.3-1102-4-1/1</t>
  </si>
  <si>
    <t>Очистка скамеек, садовых диванов, урн, цветочниц, боллардов от снега вручную</t>
  </si>
  <si>
    <t>СН-2012.5 Выпуск № 5 (в текущих ценах по состоянию на 01.10.2025 г.). 5.3-1102-4-1/1</t>
  </si>
  <si>
    <t>13</t>
  </si>
  <si>
    <t>5.3-1101-12-1/1</t>
  </si>
  <si>
    <t>Уход за урнами на придомовых и внутрибольничных территориях, очистка урн опрокидывающихся от мусора</t>
  </si>
  <si>
    <t>100 шт.</t>
  </si>
  <si>
    <t>СН-2012.5 Выпуск № 5 (в текущих ценах по состоянию на 01.10.2025 г.). 5.3-1101-12-1/1</t>
  </si>
  <si>
    <t>)*166</t>
  </si>
  <si>
    <t>14</t>
  </si>
  <si>
    <t>5.4-1202-1-1/1</t>
  </si>
  <si>
    <t>Рыхление смерзшегося снега по краю газона</t>
  </si>
  <si>
    <t>СН-2012.5 Выпуск № 5 (в текущих ценах по состоянию на 01.10.2025 г.). 5.4-1202-1-1/1</t>
  </si>
  <si>
    <t>15</t>
  </si>
  <si>
    <t>5.3-1102-7-1/1</t>
  </si>
  <si>
    <t>Очистка от снега и мусора контейнерной площадки вручную</t>
  </si>
  <si>
    <t>СН-2012.5 Выпуск № 5 (в текущих ценах по состоянию на 01.10.2025 г.). 5.3-1102-7-1/1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</si>
  <si>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</si>
  <si>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</si>
  <si>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</si>
  <si>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</si>
  <si>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</si>
  <si>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</si>
  <si>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</si>
  <si>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</si>
  <si>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</si>
  <si>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</si>
  <si>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</si>
  <si>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</si>
  <si>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</si>
  <si>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</si>
  <si>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</si>
  <si>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</si>
  <si>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</si>
  <si>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</si>
  <si>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</si>
  <si>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</si>
  <si>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</si>
  <si>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</si>
  <si>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</si>
  <si>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</si>
  <si>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</si>
  <si>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</si>
  <si>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</si>
  <si>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</si>
  <si>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</si>
  <si>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</si>
  <si>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</si>
  <si>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</si>
  <si>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</si>
  <si>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</si>
  <si>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</si>
  <si>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</si>
  <si>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</si>
  <si>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</si>
  <si>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</si>
  <si>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</si>
  <si>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</si>
  <si>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</si>
  <si>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</si>
  <si>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</si>
  <si>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</si>
  <si>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</si>
  <si>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</si>
  <si>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</si>
  <si>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</si>
  <si>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</si>
  <si>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</si>
  <si>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</si>
  <si>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</si>
  <si>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</si>
  <si>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16</t>
  </si>
  <si>
    <t>)*171</t>
  </si>
  <si>
    <t>16,1</t>
  </si>
  <si>
    <t>17</t>
  </si>
  <si>
    <t>18</t>
  </si>
  <si>
    <t>5.3-1101-15-4/1</t>
  </si>
  <si>
    <t>Полив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</si>
  <si>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5.3-1101-15-4/1</t>
  </si>
  <si>
    <t>)*14</t>
  </si>
  <si>
    <t>18,1</t>
  </si>
  <si>
    <t>19</t>
  </si>
  <si>
    <t>5.3-1101-10-1/1</t>
  </si>
  <si>
    <t>Протирка садовых диванов и скамеек</t>
  </si>
  <si>
    <t>СН-2012.5 Выпуск № 5 (в текущих ценах по состоянию на 01.10.2025 г.). 5.3-1101-10-1/1</t>
  </si>
  <si>
    <t>)*19</t>
  </si>
  <si>
    <t>19,1</t>
  </si>
  <si>
    <t>20</t>
  </si>
  <si>
    <t>)*186</t>
  </si>
  <si>
    <t>21</t>
  </si>
  <si>
    <t>5.3-1101-12-3/1</t>
  </si>
  <si>
    <t>Уход за урнами на придомовых и внутрибольничных территориях, промывка урн опрокидывающихся</t>
  </si>
  <si>
    <t>СН-2012.5 Выпуск № 5 (в текущих ценах по состоянию на 01.10.2025 г.). 5.3-1101-12-3/1</t>
  </si>
  <si>
    <t>)*13</t>
  </si>
  <si>
    <t>22</t>
  </si>
  <si>
    <t>5.3-1101-11-1/1</t>
  </si>
  <si>
    <t>Подметание контейнерной площадки с уборкой мусора</t>
  </si>
  <si>
    <t>10 м2</t>
  </si>
  <si>
    <t>СН-2012.5 Выпуск № 5 (в текущих ценах по состоянию на 01.10.2025 г.). 5.3-1101-11-1/1</t>
  </si>
  <si>
    <t>)*199</t>
  </si>
  <si>
    <t>23</t>
  </si>
  <si>
    <t>5.3-1101-4-2/1</t>
  </si>
  <si>
    <t>Промывка оград металлических простого рисунка от пыли и грязи водой под напором</t>
  </si>
  <si>
    <t>СН-2012.5 Выпуск № 5 (в текущих ценах по состоянию на 01.10.2025 г.). 5.3-1101-4-2/1</t>
  </si>
  <si>
    <t>)*2</t>
  </si>
  <si>
    <t>23,1</t>
  </si>
  <si>
    <t>24</t>
  </si>
  <si>
    <t>5.4-1201-3-2/1</t>
  </si>
  <si>
    <t>Уборка газонов от опавших листьев и мусора пневмомашиной</t>
  </si>
  <si>
    <t>СН-2012.5 Выпуск № 5 (в текущих ценах по состоянию на 01.10.2025 г.). 5.4-1201-3-2/1</t>
  </si>
  <si>
    <t>25</t>
  </si>
  <si>
    <t>5.4-1201-3-1/1</t>
  </si>
  <si>
    <t>Уборка газонов от опавших листьев и мусора вручную</t>
  </si>
  <si>
    <t>СН-2012.5 Выпуск № 5 (в текущих ценах по состоянию на 01.10.2025 г.). 5.4-1201-3-1/1</t>
  </si>
  <si>
    <t>26</t>
  </si>
  <si>
    <t>5.4-1201-3-3/1</t>
  </si>
  <si>
    <t>Уборка опавшей листвы в мешки с погрузкой</t>
  </si>
  <si>
    <t>СН-2012.5 Выпуск № 5 (в текущих ценах по состоянию на 01.10.2025 г.). 5.4-1201-3-3/1</t>
  </si>
  <si>
    <t>27</t>
  </si>
  <si>
    <t>5.4-1201-1-1/1</t>
  </si>
  <si>
    <t>Сбор случайного мусора по территории</t>
  </si>
  <si>
    <t>СН-2012.5 Выпуск № 5 (в текущих ценах по состоянию на 01.10.2025 г.). 5.4-1201-1-1/1</t>
  </si>
  <si>
    <t>28</t>
  </si>
  <si>
    <t>5.4-3201-7-2/1</t>
  </si>
  <si>
    <t>Выкашивание газонов газонокосилкой</t>
  </si>
  <si>
    <t>СН-2012.5 Выпуск № 5 (в текущих ценах по состоянию на 01.10.2025 г.). 5.4-3201-7-2/1</t>
  </si>
  <si>
    <t>29</t>
  </si>
  <si>
    <t>5.4-3405-7-1/1</t>
  </si>
  <si>
    <t>Полив зеленых насаждений из шланга поливомоечной машины</t>
  </si>
  <si>
    <t>СН-2012.5 Выпуск № 5 (в текущих ценах по состоянию на 01.10.2025 г.). 5.4-3405-7-1/1</t>
  </si>
  <si>
    <t>29,1</t>
  </si>
  <si>
    <t>30</t>
  </si>
  <si>
    <t>5.4-3405-22-1/1</t>
  </si>
  <si>
    <t>Внесение минеральных удобрений - равномерное внесение в почву сухих минеральных удобрений (без стоимости материалов)</t>
  </si>
  <si>
    <t>СН-2012.5 Выпуск № 5 (в текущих ценах по состоянию на 01.10.2025 г.). 5.4-3405-22-1/1</t>
  </si>
  <si>
    <t>30,1</t>
  </si>
  <si>
    <t>21.4-4-17</t>
  </si>
  <si>
    <t>Удобрения комплексные минеральные для газонов</t>
  </si>
  <si>
    <t>кг</t>
  </si>
  <si>
    <t>СН-2012.21 Выпуск № 5 (в текущих ценах по состоянию на 01.10.2025 г.). 21.4-4-17</t>
  </si>
  <si>
    <t>31</t>
  </si>
  <si>
    <t>Полив зеленых насаждений из шланга поливомоечной машины (20 л на 1 м2)</t>
  </si>
  <si>
    <t>)*10</t>
  </si>
  <si>
    <t>32</t>
  </si>
  <si>
    <t>5.4-3405-30-1/1</t>
  </si>
  <si>
    <t>Формовочная обрезка, стрижка кустарников - диаметр до 1 м</t>
  </si>
  <si>
    <t>10 шт.</t>
  </si>
  <si>
    <t>СН-2012.5 Выпуск № 5 (в текущих ценах по состоянию на 01.10.2025 г.). 5.4-3405-30-1/1</t>
  </si>
  <si>
    <t>)*6</t>
  </si>
  <si>
    <t>33</t>
  </si>
  <si>
    <t>Полив зеленых насаждений из шланга поливомоечной машины (5 л на 1 м2)</t>
  </si>
  <si>
    <t>34</t>
  </si>
  <si>
    <t>5.4-3405-12-2/1</t>
  </si>
  <si>
    <t>Прополка цветников с применением полотиков</t>
  </si>
  <si>
    <t>СН-2012.5 Выпуск № 5 (в текущих ценах по состоянию на 01.10.2025 г.). 5.4-3405-12-2/1</t>
  </si>
  <si>
    <t>35</t>
  </si>
  <si>
    <t>5.4-3405-24-1/1</t>
  </si>
  <si>
    <t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t>
  </si>
  <si>
    <t>СН-2012.5 Выпуск № 5 (в текущих ценах по состоянию на 01.10.2025 г.). 5.4-3405-24-1/1</t>
  </si>
  <si>
    <t>35,1</t>
  </si>
  <si>
    <t>21.4-4-31</t>
  </si>
  <si>
    <t>Удобрение - биостимулятор, органическое жидкое, антистрессовое, для некорневой подкормки, типа Текамин Макс (N 7%)</t>
  </si>
  <si>
    <t>л</t>
  </si>
  <si>
    <t>СН-2012.21 Выпуск № 5 (в текущих ценах по состоянию на 01.10.2025 г.). 21.4-4-31</t>
  </si>
  <si>
    <t>36</t>
  </si>
  <si>
    <t>5.4-3405-19-1/1</t>
  </si>
  <si>
    <t>Обрезка стеблей отцветших цветочных растений и относ их за пределы цветника</t>
  </si>
  <si>
    <t>СН-2012.5 Выпуск № 5 (в текущих ценах по состоянию на 01.10.2025 г.). 5.4-3405-19-1/1</t>
  </si>
  <si>
    <t>)*3</t>
  </si>
  <si>
    <t>37</t>
  </si>
  <si>
    <t>Полив зеленых насаждений из шланга поливомоечной машины (40 л на 1 м2)</t>
  </si>
  <si>
    <t>НДС 20%</t>
  </si>
  <si>
    <t>Итого с НДС</t>
  </si>
  <si>
    <t>и1</t>
  </si>
  <si>
    <t>Итого</t>
  </si>
  <si>
    <t>и2</t>
  </si>
  <si>
    <t>и3</t>
  </si>
  <si>
    <t>Уровень цен на 01.10.2025</t>
  </si>
  <si>
    <t>_OBSM_</t>
  </si>
  <si>
    <t>22.1-17-199</t>
  </si>
  <si>
    <t>СН-2012.22 Выпуск № 5 (в текущих ценах по состоянию на 01.10.2025 г.). 22.1-17-199</t>
  </si>
  <si>
    <t>Снегоочистители на базе мини-погрузчика грузоподъемностью до 1 т</t>
  </si>
  <si>
    <t>маш.-ч</t>
  </si>
  <si>
    <t>9999990008</t>
  </si>
  <si>
    <t>Трудозатраты рабочих</t>
  </si>
  <si>
    <t>чел.-ч.</t>
  </si>
  <si>
    <t>22.1-17-200</t>
  </si>
  <si>
    <t>СН-2012.22 Выпуск № 5 (в текущих ценах по состоянию на 01.10.2025 г.). 22.1-17-200</t>
  </si>
  <si>
    <t>Подметально-уборочные машины на базе мини-погрузчика грузоподъемностью до 1 т</t>
  </si>
  <si>
    <t>22.1-17-198</t>
  </si>
  <si>
    <t>СН-2012.22 Выпуск № 5 (в текущих ценах по состоянию на 01.10.2025 г.). 22.1-17-198</t>
  </si>
  <si>
    <t>Разбрасыватели противогололедных материалов на базе мини-погрузчика грузоподъемностью до 1 т</t>
  </si>
  <si>
    <t>21.1-25-991</t>
  </si>
  <si>
    <t>СН-2012.21 Выпуск № 5 (в текущих ценах по состоянию на 01.10.2025 г.). 21.1-25-991</t>
  </si>
  <si>
    <t>Композиция (твердый многокомпонентный реагент противогололедный) на основе хлорида кальция и хлорида натрия (ХКНтв.), эффективность до -25°C</t>
  </si>
  <si>
    <t>22.1-4-91</t>
  </si>
  <si>
    <t>СН-2012.22 Выпуск № 5 (в текущих ценах по состоянию на 01.10.2025 г.). 22.1-4-91</t>
  </si>
  <si>
    <t>Мини-погрузчики многофункциональные, грузоподъемность до 1 т</t>
  </si>
  <si>
    <t>21.1-25-636</t>
  </si>
  <si>
    <t>СН-2012.21 Выпуск № 5 (в текущих ценах по состоянию на 01.10.2025 г.). 21.1-25-636</t>
  </si>
  <si>
    <t>Пакеты ПНД для мусора, объем пакета 60 л</t>
  </si>
  <si>
    <t>шт.</t>
  </si>
  <si>
    <t>21.1-24-14</t>
  </si>
  <si>
    <t>СН-2012.21 Выпуск № 5 (в текущих ценах по состоянию на 01.10.2025 г.). 21.1-24-14</t>
  </si>
  <si>
    <t>Средство моющее</t>
  </si>
  <si>
    <t>21.1-24-30</t>
  </si>
  <si>
    <t>СН-2012.21 Выпуск № 5 (в текущих ценах по состоянию на 01.10.2025 г.). 21.1-24-30</t>
  </si>
  <si>
    <t>Средство дезинфицирующее концентрированное антимикробное, высокоэффективное, типа "Сепотосан-Т"</t>
  </si>
  <si>
    <t>22.1-11-72</t>
  </si>
  <si>
    <t>СН-2012.22 Выпуск № 5 (в текущих ценах по состоянию на 01.10.2025 г.). 22.1-11-72</t>
  </si>
  <si>
    <t>Насосы высокого давления типа "Керхер"</t>
  </si>
  <si>
    <t>22.1-17-202</t>
  </si>
  <si>
    <t>СН-2012.22 Выпуск № 5 (в текущих ценах по состоянию на 01.10.2025 г.). 22.1-17-202</t>
  </si>
  <si>
    <t>Тракторы пневмоколесные с цистерной для воды, вместимость до 3,5 м3</t>
  </si>
  <si>
    <t>22.1-17-201</t>
  </si>
  <si>
    <t>СН-2012.22 Выпуск № 5 (в текущих ценах по состоянию на 01.10.2025 г.). 22.1-17-201</t>
  </si>
  <si>
    <t>Пылесосы (воздуходувки) садовые, объем подачи воздуха до 800 м3/ч</t>
  </si>
  <si>
    <t>22.1-18-7</t>
  </si>
  <si>
    <t>СН-2012.22 Выпуск № 5 (в текущих ценах по состоянию на 01.10.2025 г.). 22.1-18-7</t>
  </si>
  <si>
    <t>Автомобили грузовые бортовые, грузоподъемность до 5 т</t>
  </si>
  <si>
    <t>21.1-25-637</t>
  </si>
  <si>
    <t>СН-2012.21 Выпуск № 5 (в текущих ценах по состоянию на 01.10.2025 г.). 21.1-25-637</t>
  </si>
  <si>
    <t>Пакеты ПНД для мусора, объем пакета 120 л</t>
  </si>
  <si>
    <t>22.1-17-36</t>
  </si>
  <si>
    <t>СН-2012.22 Выпуск № 5 (в текущих ценах по состоянию на 01.10.2025 г.). 22.1-17-36</t>
  </si>
  <si>
    <t>Косилки моторные</t>
  </si>
  <si>
    <t>22.1-5-18</t>
  </si>
  <si>
    <t>СН-2012.22 Выпуск № 5 (в текущих ценах по состоянию на 01.10.2025 г.). 22.1-5-18</t>
  </si>
  <si>
    <t>Поливомоечные машины, емкость цистерны более 5000 л</t>
  </si>
  <si>
    <t>22.1-17-230</t>
  </si>
  <si>
    <t>СН-2012.22 Выпуск № 5 (в текущих ценах по состоянию на 01.10.2025 г.). 22.1-17-230</t>
  </si>
  <si>
    <t>Опрыскиватели бензиновые ранцевые, емкость 14 л, производительность до 2,64 л/мин, мощность 2,9 кВт</t>
  </si>
  <si>
    <t>2189010000</t>
  </si>
  <si>
    <t>Удобрения минеральные сухие</t>
  </si>
  <si>
    <t>2189013000</t>
  </si>
  <si>
    <t>Удобрение комплексное органическое жидкое на основе вермикомпоста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</si>
  <si>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</si>
  <si>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</si>
  <si>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</si>
  <si>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</si>
  <si>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</si>
  <si>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</si>
  <si>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</si>
  <si>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</si>
  <si>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</si>
  <si>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</si>
  <si>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</si>
  <si>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</si>
  <si>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</si>
  <si>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</si>
  <si>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</si>
  <si>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</si>
  <si>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</si>
  <si>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</si>
  <si>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</si>
  <si>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</si>
  <si>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</si>
  <si>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</si>
  <si>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</si>
  <si>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</si>
  <si>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</si>
  <si>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</si>
  <si>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</si>
  <si>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</si>
  <si>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ЭМ</t>
  </si>
  <si>
    <t>в т.ч. ЗПМ</t>
  </si>
  <si>
    <t>НР и НП от ЗПМ</t>
  </si>
  <si>
    <t>%</t>
  </si>
  <si>
    <t>ЗП</t>
  </si>
  <si>
    <t>НР от ЗП</t>
  </si>
  <si>
    <t>НП от ЗП</t>
  </si>
  <si>
    <t>ЗТР</t>
  </si>
  <si>
    <t>чел-ч</t>
  </si>
  <si>
    <t>МР</t>
  </si>
  <si>
    <t>к нр )*111</t>
  </si>
  <si>
    <t>к нр )*171</t>
  </si>
  <si>
    <t>к нр )*14</t>
  </si>
  <si>
    <t>к нр )*19</t>
  </si>
  <si>
    <t>к нр )*2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</si>
  <si>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</si>
  <si>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</si>
  <si>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</si>
  <si>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</si>
  <si>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</si>
  <si>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</si>
  <si>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</si>
  <si>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</si>
  <si>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</si>
  <si>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</si>
  <si>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</si>
  <si>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 xml:space="preserve">Подраздел: ЗИМНЯЯ УБОРКА </t>
  </si>
  <si>
    <t xml:space="preserve">Подраздел: ЛЕТНЯЯ УБОРКА </t>
  </si>
  <si>
    <t xml:space="preserve">Подраздел: УХОД ЗА ЗЕЛЕНЫМИ НАСАЖДЕНИЯМИ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</si>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</sst>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right"/>
    </xf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9" fillId="0" borderId="1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165" fontId="15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0" fillId="0" borderId="0" xfId="0"/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F3139-E555-462D-9475-796DF06A6E53}">
  <sheetPr>
    <pageSetUpPr fitToPage="1"/>
  </sheetPr>
  <dimension ref="A1:AF367"/>
  <sheetViews>
    <sheetView tabSelected="1" zoomScaleNormal="100" workbookViewId="0"/>
  </sheetViews>
  <sheetFormatPr defaultRowHeight="12.5" x14ac:dyDescent="0.25"/>
  <cols>
    <col min="1" max="1" width="5.54296875" customWidth="1"/>
    <col min="2" max="2" width="11.54296875" customWidth="1"/>
    <col min="3" max="3" width="40.54296875" customWidth="1"/>
    <col min="4" max="6" width="11.54296875" customWidth="1"/>
    <col min="7" max="9" width="12.54296875" customWidth="1"/>
    <col min="10" max="10" width="15" customWidth="1"/>
    <col min="11" max="11" width="12.54296875" customWidth="1"/>
    <col min="15" max="31" width="0" hidden="1" customWidth="1"/>
    <col min="32" max="32" width="116.54296875" hidden="1" customWidth="1"/>
    <col min="33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50" t="s">
        <v>315</v>
      </c>
      <c r="K2" s="50"/>
    </row>
    <row r="3" spans="1:11" ht="16.5" x14ac:dyDescent="0.35">
      <c r="A3" s="10"/>
      <c r="B3" s="56" t="s">
        <v>313</v>
      </c>
      <c r="C3" s="56"/>
      <c r="D3" s="56"/>
      <c r="E3" s="56"/>
      <c r="F3" s="9"/>
      <c r="G3" s="56" t="s">
        <v>314</v>
      </c>
      <c r="H3" s="56"/>
      <c r="I3" s="56"/>
      <c r="J3" s="56"/>
      <c r="K3" s="56"/>
    </row>
    <row r="4" spans="1:11" ht="14" x14ac:dyDescent="0.3">
      <c r="A4" s="9"/>
      <c r="B4" s="49"/>
      <c r="C4" s="49"/>
      <c r="D4" s="49"/>
      <c r="E4" s="49"/>
      <c r="F4" s="9"/>
      <c r="G4" s="49"/>
      <c r="H4" s="49"/>
      <c r="I4" s="49"/>
      <c r="J4" s="49"/>
      <c r="K4" s="49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49" t="str">
        <f>CONCATENATE("______________________ ", IF(Source!AL12&lt;&gt;"", Source!AL12, ""))</f>
        <v xml:space="preserve">______________________ </v>
      </c>
      <c r="C6" s="49"/>
      <c r="D6" s="49"/>
      <c r="E6" s="49"/>
      <c r="F6" s="9"/>
      <c r="G6" s="49" t="str">
        <f>CONCATENATE("______________________ ", IF(Source!AH12&lt;&gt;"", Source!AH12, ""))</f>
        <v xml:space="preserve">______________________ </v>
      </c>
      <c r="H6" s="49"/>
      <c r="I6" s="49"/>
      <c r="J6" s="49"/>
      <c r="K6" s="49"/>
    </row>
    <row r="7" spans="1:11" ht="14" x14ac:dyDescent="0.3">
      <c r="A7" s="12"/>
      <c r="B7" s="38" t="s">
        <v>316</v>
      </c>
      <c r="C7" s="38"/>
      <c r="D7" s="38"/>
      <c r="E7" s="38"/>
      <c r="F7" s="9"/>
      <c r="G7" s="38" t="s">
        <v>316</v>
      </c>
      <c r="H7" s="38"/>
      <c r="I7" s="38"/>
      <c r="J7" s="38"/>
      <c r="K7" s="38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52" t="str">
        <f>IF(Source!G12&lt;&gt;"Новый объект", Source!G12, "")</f>
        <v>Зона 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idden="1" x14ac:dyDescent="0.25">
      <c r="A11" s="41" t="s">
        <v>317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54" t="str">
        <f>CONCATENATE( "ЛОКАЛЬНАЯ СМЕТА № ",IF(Source!F12&lt;&gt;"Новый объект", Source!F12, ""))</f>
        <v xml:space="preserve">ЛОКАЛЬНАЯ СМЕТА № 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x14ac:dyDescent="0.25">
      <c r="A14" s="51" t="s">
        <v>318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52" t="str">
        <f>IF(Source!G12&lt;&gt;"Новый объект", Source!G12, "")</f>
        <v>Зона 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1" x14ac:dyDescent="0.25">
      <c r="A17" s="51" t="s">
        <v>319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38" t="str">
        <f>CONCATENATE( "Основание: чертежи № ", Source!J12)</f>
        <v xml:space="preserve">Основание: чертежи № 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49" t="s">
        <v>320</v>
      </c>
      <c r="G21" s="49"/>
      <c r="H21" s="49"/>
      <c r="I21" s="39">
        <f>I22+I23+I24+I25</f>
        <v>172260.62</v>
      </c>
      <c r="J21" s="50"/>
      <c r="K21" s="9" t="s">
        <v>321</v>
      </c>
    </row>
    <row r="22" spans="1:11" ht="14" hidden="1" x14ac:dyDescent="0.3">
      <c r="A22" s="9"/>
      <c r="B22" s="9"/>
      <c r="C22" s="9"/>
      <c r="D22" s="9"/>
      <c r="E22" s="9"/>
      <c r="F22" s="49" t="s">
        <v>322</v>
      </c>
      <c r="G22" s="49"/>
      <c r="H22" s="49"/>
      <c r="I22" s="39">
        <f>ROUND((Source!F257)/1000, 2)</f>
        <v>0</v>
      </c>
      <c r="J22" s="50"/>
      <c r="K22" s="9" t="s">
        <v>321</v>
      </c>
    </row>
    <row r="23" spans="1:11" ht="14" hidden="1" x14ac:dyDescent="0.3">
      <c r="A23" s="9"/>
      <c r="B23" s="9"/>
      <c r="C23" s="9"/>
      <c r="D23" s="9"/>
      <c r="E23" s="9"/>
      <c r="F23" s="49" t="s">
        <v>323</v>
      </c>
      <c r="G23" s="49"/>
      <c r="H23" s="49"/>
      <c r="I23" s="39">
        <f>ROUND((Source!F258)/1000, 2)</f>
        <v>0</v>
      </c>
      <c r="J23" s="50"/>
      <c r="K23" s="9" t="s">
        <v>321</v>
      </c>
    </row>
    <row r="24" spans="1:11" ht="14" hidden="1" x14ac:dyDescent="0.3">
      <c r="A24" s="9"/>
      <c r="B24" s="9"/>
      <c r="C24" s="9"/>
      <c r="D24" s="9"/>
      <c r="E24" s="9"/>
      <c r="F24" s="49" t="s">
        <v>324</v>
      </c>
      <c r="G24" s="49"/>
      <c r="H24" s="49"/>
      <c r="I24" s="39">
        <f>ROUND((Source!F249)/1000, 2)</f>
        <v>0</v>
      </c>
      <c r="J24" s="50"/>
      <c r="K24" s="9" t="s">
        <v>321</v>
      </c>
    </row>
    <row r="25" spans="1:11" ht="14" hidden="1" x14ac:dyDescent="0.3">
      <c r="A25" s="9"/>
      <c r="B25" s="9"/>
      <c r="C25" s="9"/>
      <c r="D25" s="9"/>
      <c r="E25" s="9"/>
      <c r="F25" s="49" t="s">
        <v>325</v>
      </c>
      <c r="G25" s="49"/>
      <c r="H25" s="49"/>
      <c r="I25" s="39">
        <f>ROUND((Source!F259+Source!F260)/1000, 2)</f>
        <v>172260.62</v>
      </c>
      <c r="J25" s="50"/>
      <c r="K25" s="9" t="s">
        <v>321</v>
      </c>
    </row>
    <row r="26" spans="1:11" ht="14" x14ac:dyDescent="0.3">
      <c r="A26" s="9"/>
      <c r="B26" s="9"/>
      <c r="C26" s="9"/>
      <c r="D26" s="9"/>
      <c r="E26" s="9"/>
      <c r="F26" s="49" t="s">
        <v>326</v>
      </c>
      <c r="G26" s="49"/>
      <c r="H26" s="49"/>
      <c r="I26" s="39">
        <f>(Source!F255+ Source!F254)/1000</f>
        <v>65560.376099999994</v>
      </c>
      <c r="J26" s="50"/>
      <c r="K26" s="9" t="s">
        <v>321</v>
      </c>
    </row>
    <row r="27" spans="1:11" ht="14" x14ac:dyDescent="0.3">
      <c r="A27" s="9" t="s">
        <v>340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7" t="s">
        <v>327</v>
      </c>
      <c r="B28" s="47" t="s">
        <v>328</v>
      </c>
      <c r="C28" s="47" t="s">
        <v>329</v>
      </c>
      <c r="D28" s="47" t="s">
        <v>330</v>
      </c>
      <c r="E28" s="47" t="s">
        <v>331</v>
      </c>
      <c r="F28" s="47" t="s">
        <v>332</v>
      </c>
      <c r="G28" s="47" t="s">
        <v>333</v>
      </c>
      <c r="H28" s="47" t="s">
        <v>334</v>
      </c>
      <c r="I28" s="47" t="s">
        <v>335</v>
      </c>
      <c r="J28" s="47" t="s">
        <v>336</v>
      </c>
      <c r="K28" s="17" t="s">
        <v>337</v>
      </c>
    </row>
    <row r="29" spans="1:11" ht="42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18" t="s">
        <v>338</v>
      </c>
    </row>
    <row r="30" spans="1:11" ht="42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18" t="s">
        <v>339</v>
      </c>
    </row>
    <row r="31" spans="1:11" ht="14" x14ac:dyDescent="0.25">
      <c r="A31" s="18">
        <v>1</v>
      </c>
      <c r="B31" s="18">
        <v>2</v>
      </c>
      <c r="C31" s="18">
        <v>3</v>
      </c>
      <c r="D31" s="18">
        <v>4</v>
      </c>
      <c r="E31" s="18">
        <v>5</v>
      </c>
      <c r="F31" s="18">
        <v>6</v>
      </c>
      <c r="G31" s="18">
        <v>7</v>
      </c>
      <c r="H31" s="18">
        <v>8</v>
      </c>
      <c r="I31" s="18">
        <v>9</v>
      </c>
      <c r="J31" s="18">
        <v>10</v>
      </c>
      <c r="K31" s="18">
        <v>11</v>
      </c>
    </row>
    <row r="33" spans="1:22" ht="16.5" x14ac:dyDescent="0.35">
      <c r="A33" s="46" t="str">
        <f>CONCATENATE("Локальная смета: ",IF(Source!G20&lt;&gt;"Новая локальная смета", Source!G20, ""))</f>
        <v>Локальная смета: Локальная смета: Зона №3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5" spans="1:22" ht="16.5" x14ac:dyDescent="0.35">
      <c r="A35" s="46" t="str">
        <f>CONCATENATE("Раздел: ",IF(Source!G24&lt;&gt;"Новый раздел", Source!G24, ""))</f>
        <v>Раздел: Раздел: Основная зона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7" spans="1:22" ht="16.5" x14ac:dyDescent="0.35">
      <c r="A37" s="46" t="str">
        <f>CONCATENATE("Подраздел: ",IF(Source!G28&lt;&gt;"Новый подраздел", Source!G28, ""))</f>
        <v xml:space="preserve">Подраздел: Подраздел: ЗИМНЯЯ УБОРКА 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spans="1:22" ht="28" x14ac:dyDescent="0.35">
      <c r="A38" s="19">
        <v>1</v>
      </c>
      <c r="B38" s="19" t="str">
        <f>Source!F32</f>
        <v>5.3-1102-12-1/1</v>
      </c>
      <c r="C38" s="19" t="str">
        <f>Source!G32</f>
        <v>Уборка снега средствами малой механизации</v>
      </c>
      <c r="D38" s="20" t="str">
        <f>Source!H32</f>
        <v>1000 м2</v>
      </c>
      <c r="E38" s="8">
        <f>Source!I32</f>
        <v>126.98520000000001</v>
      </c>
      <c r="F38" s="22"/>
      <c r="G38" s="21"/>
      <c r="H38" s="8"/>
      <c r="I38" s="8"/>
      <c r="J38" s="22"/>
      <c r="K38" s="22"/>
      <c r="Q38">
        <f>ROUND((Source!BZ32/100)*ROUND((Source!AF32*Source!AV32)*Source!I32, 2), 2)</f>
        <v>0</v>
      </c>
      <c r="R38">
        <f>Source!X32</f>
        <v>0</v>
      </c>
      <c r="S38">
        <f>ROUND((Source!CA32/100)*ROUND((Source!AF32*Source!AV32)*Source!I32, 2), 2)</f>
        <v>0</v>
      </c>
      <c r="T38">
        <f>Source!Y32</f>
        <v>0</v>
      </c>
      <c r="U38">
        <f>ROUND((175/100)*ROUND((Source!AE32*Source!AV32)*Source!I32, 2), 2)</f>
        <v>5334922.8600000003</v>
      </c>
      <c r="V38">
        <f>ROUND((108/100)*ROUND(Source!CS32*Source!I32, 2), 2)</f>
        <v>3292409.54</v>
      </c>
    </row>
    <row r="39" spans="1:22" x14ac:dyDescent="0.25">
      <c r="C39" s="23" t="str">
        <f>"Объем: "&amp;Source!I32&amp;"=126985,2/"&amp;"1000"</f>
        <v>Объем: 126,9852=126985,2/1000</v>
      </c>
    </row>
    <row r="40" spans="1:22" ht="14.5" x14ac:dyDescent="0.35">
      <c r="A40" s="19"/>
      <c r="B40" s="19"/>
      <c r="C40" s="19" t="s">
        <v>341</v>
      </c>
      <c r="D40" s="20"/>
      <c r="E40" s="8"/>
      <c r="F40" s="22">
        <f>Source!AM32</f>
        <v>1257.99</v>
      </c>
      <c r="G40" s="21" t="str">
        <f>Source!DE32</f>
        <v>)*55</v>
      </c>
      <c r="H40" s="8">
        <f>Source!AV32</f>
        <v>1</v>
      </c>
      <c r="I40" s="8">
        <f>IF(Source!BB32&lt;&gt; 0, Source!BB32, 1)</f>
        <v>1</v>
      </c>
      <c r="J40" s="22">
        <f>Source!Q32</f>
        <v>8786036.1500000004</v>
      </c>
      <c r="K40" s="22"/>
    </row>
    <row r="41" spans="1:22" ht="14.5" x14ac:dyDescent="0.35">
      <c r="A41" s="19"/>
      <c r="B41" s="19"/>
      <c r="C41" s="19" t="s">
        <v>342</v>
      </c>
      <c r="D41" s="20"/>
      <c r="E41" s="8"/>
      <c r="F41" s="22">
        <f>Source!AN32</f>
        <v>436.49</v>
      </c>
      <c r="G41" s="21" t="str">
        <f>Source!DF32</f>
        <v>)*55</v>
      </c>
      <c r="H41" s="8">
        <f>Source!AV32</f>
        <v>1</v>
      </c>
      <c r="I41" s="8">
        <f>IF(Source!BS32&lt;&gt; 0, Source!BS32, 1)</f>
        <v>1</v>
      </c>
      <c r="J41" s="24">
        <f>Source!R32</f>
        <v>3048527.35</v>
      </c>
      <c r="K41" s="22"/>
    </row>
    <row r="42" spans="1:22" ht="14.5" x14ac:dyDescent="0.35">
      <c r="A42" s="19"/>
      <c r="B42" s="19"/>
      <c r="C42" s="19" t="s">
        <v>343</v>
      </c>
      <c r="D42" s="20" t="s">
        <v>344</v>
      </c>
      <c r="E42" s="8">
        <f>108</f>
        <v>108</v>
      </c>
      <c r="F42" s="22"/>
      <c r="G42" s="21"/>
      <c r="H42" s="8"/>
      <c r="I42" s="8"/>
      <c r="J42" s="22">
        <f>SUM(V38:V41)</f>
        <v>3292409.54</v>
      </c>
      <c r="K42" s="22"/>
    </row>
    <row r="43" spans="1:22" ht="14" x14ac:dyDescent="0.3">
      <c r="A43" s="27"/>
      <c r="B43" s="27"/>
      <c r="C43" s="27"/>
      <c r="D43" s="27"/>
      <c r="E43" s="27"/>
      <c r="F43" s="27"/>
      <c r="G43" s="27"/>
      <c r="H43" s="27"/>
      <c r="I43" s="45">
        <f>J40+J42</f>
        <v>12078445.690000001</v>
      </c>
      <c r="J43" s="45"/>
      <c r="K43" s="28">
        <f>IF(Source!I32&lt;&gt;0, ROUND(I43/Source!I32, 2), 0)</f>
        <v>95116.96</v>
      </c>
      <c r="P43" s="25">
        <f>I43</f>
        <v>12078445.690000001</v>
      </c>
    </row>
    <row r="44" spans="1:22" ht="28" x14ac:dyDescent="0.35">
      <c r="A44" s="19">
        <v>2</v>
      </c>
      <c r="B44" s="19" t="str">
        <f>Source!F33</f>
        <v>5.3-1102-8-1/1</v>
      </c>
      <c r="C44" s="19" t="str">
        <f>Source!G33</f>
        <v>Уборка свежевыпавшего снега вручную толщиной слоя до 10 см</v>
      </c>
      <c r="D44" s="20" t="str">
        <f>Source!H33</f>
        <v>100 м2</v>
      </c>
      <c r="E44" s="8">
        <f>Source!I33</f>
        <v>317.46300000000002</v>
      </c>
      <c r="F44" s="22"/>
      <c r="G44" s="21"/>
      <c r="H44" s="8"/>
      <c r="I44" s="8"/>
      <c r="J44" s="22"/>
      <c r="K44" s="22"/>
      <c r="Q44">
        <f>ROUND((Source!BZ33/100)*ROUND((Source!AF33*Source!AV33)*Source!I33, 2), 2)</f>
        <v>3599963.75</v>
      </c>
      <c r="R44">
        <f>Source!X33</f>
        <v>3599963.75</v>
      </c>
      <c r="S44">
        <f>ROUND((Source!CA33/100)*ROUND((Source!AF33*Source!AV33)*Source!I33, 2), 2)</f>
        <v>514280.54</v>
      </c>
      <c r="T44">
        <f>Source!Y33</f>
        <v>514280.54</v>
      </c>
      <c r="U44">
        <f>ROUND((175/100)*ROUND((Source!AE33*Source!AV33)*Source!I33, 2), 2)</f>
        <v>0</v>
      </c>
      <c r="V44">
        <f>ROUND((108/100)*ROUND(Source!CS33*Source!I33, 2), 2)</f>
        <v>0</v>
      </c>
    </row>
    <row r="45" spans="1:22" x14ac:dyDescent="0.25">
      <c r="C45" s="23" t="str">
        <f>"Объем: "&amp;Source!I33&amp;"=31746,3/"&amp;"100"</f>
        <v>Объем: 317,463=31746,3/100</v>
      </c>
    </row>
    <row r="46" spans="1:22" ht="14.5" x14ac:dyDescent="0.35">
      <c r="A46" s="19"/>
      <c r="B46" s="19"/>
      <c r="C46" s="19" t="s">
        <v>345</v>
      </c>
      <c r="D46" s="20"/>
      <c r="E46" s="8"/>
      <c r="F46" s="22">
        <f>Source!AO33</f>
        <v>294.54000000000002</v>
      </c>
      <c r="G46" s="21" t="str">
        <f>Source!DG33</f>
        <v>)*55</v>
      </c>
      <c r="H46" s="8">
        <f>Source!AV33</f>
        <v>1</v>
      </c>
      <c r="I46" s="8">
        <f>IF(Source!BA33&lt;&gt; 0, Source!BA33, 1)</f>
        <v>1</v>
      </c>
      <c r="J46" s="22">
        <f>Source!S33</f>
        <v>5142805.3600000003</v>
      </c>
      <c r="K46" s="22"/>
    </row>
    <row r="47" spans="1:22" ht="14.5" x14ac:dyDescent="0.35">
      <c r="A47" s="19"/>
      <c r="B47" s="19"/>
      <c r="C47" s="19" t="s">
        <v>346</v>
      </c>
      <c r="D47" s="20" t="s">
        <v>344</v>
      </c>
      <c r="E47" s="8">
        <f>Source!AT33</f>
        <v>70</v>
      </c>
      <c r="F47" s="22"/>
      <c r="G47" s="21"/>
      <c r="H47" s="8"/>
      <c r="I47" s="8"/>
      <c r="J47" s="22">
        <f>SUM(R44:R46)</f>
        <v>3599963.75</v>
      </c>
      <c r="K47" s="22"/>
    </row>
    <row r="48" spans="1:22" ht="14.5" x14ac:dyDescent="0.35">
      <c r="A48" s="19"/>
      <c r="B48" s="19"/>
      <c r="C48" s="19" t="s">
        <v>347</v>
      </c>
      <c r="D48" s="20" t="s">
        <v>344</v>
      </c>
      <c r="E48" s="8">
        <f>Source!AU33</f>
        <v>10</v>
      </c>
      <c r="F48" s="22"/>
      <c r="G48" s="21"/>
      <c r="H48" s="8"/>
      <c r="I48" s="8"/>
      <c r="J48" s="22">
        <f>SUM(T44:T47)</f>
        <v>514280.54</v>
      </c>
      <c r="K48" s="22"/>
    </row>
    <row r="49" spans="1:22" ht="14.5" x14ac:dyDescent="0.35">
      <c r="A49" s="19"/>
      <c r="B49" s="19"/>
      <c r="C49" s="19" t="s">
        <v>348</v>
      </c>
      <c r="D49" s="20" t="s">
        <v>349</v>
      </c>
      <c r="E49" s="8">
        <f>Source!AQ33</f>
        <v>0.65</v>
      </c>
      <c r="F49" s="22"/>
      <c r="G49" s="21" t="str">
        <f>Source!DI33</f>
        <v>)*55</v>
      </c>
      <c r="H49" s="8">
        <f>Source!AV33</f>
        <v>1</v>
      </c>
      <c r="I49" s="8"/>
      <c r="J49" s="22"/>
      <c r="K49" s="22">
        <f>Source!U33</f>
        <v>11349.302250000001</v>
      </c>
    </row>
    <row r="50" spans="1:22" ht="14" x14ac:dyDescent="0.3">
      <c r="A50" s="27"/>
      <c r="B50" s="27"/>
      <c r="C50" s="27"/>
      <c r="D50" s="27"/>
      <c r="E50" s="27"/>
      <c r="F50" s="27"/>
      <c r="G50" s="27"/>
      <c r="H50" s="27"/>
      <c r="I50" s="45">
        <f>J46+J47+J48</f>
        <v>9257049.6499999985</v>
      </c>
      <c r="J50" s="45"/>
      <c r="K50" s="28">
        <f>IF(Source!I33&lt;&gt;0, ROUND(I50/Source!I33, 2), 0)</f>
        <v>29159.46</v>
      </c>
      <c r="P50" s="25">
        <f>I50</f>
        <v>9257049.6499999985</v>
      </c>
    </row>
    <row r="51" spans="1:22" ht="42" x14ac:dyDescent="0.35">
      <c r="A51" s="19">
        <v>3</v>
      </c>
      <c r="B51" s="19" t="str">
        <f>Source!F34</f>
        <v>5.3-1101-15-1/1</v>
      </c>
      <c r="C51" s="19" t="str">
        <f>Source!G34</f>
        <v>Подметание тротуаров, придомовых и внутрибольничных проездов средствами малой механизации</v>
      </c>
      <c r="D51" s="20" t="str">
        <f>Source!H34</f>
        <v>1000 м2</v>
      </c>
      <c r="E51" s="8">
        <f>Source!I34</f>
        <v>126.98520000000001</v>
      </c>
      <c r="F51" s="22"/>
      <c r="G51" s="21"/>
      <c r="H51" s="8"/>
      <c r="I51" s="8"/>
      <c r="J51" s="22"/>
      <c r="K51" s="22"/>
      <c r="Q51">
        <f>ROUND((Source!BZ34/100)*ROUND((Source!AF34*Source!AV34)*Source!I34, 2), 2)</f>
        <v>0</v>
      </c>
      <c r="R51">
        <f>Source!X34</f>
        <v>0</v>
      </c>
      <c r="S51">
        <f>ROUND((Source!CA34/100)*ROUND((Source!AF34*Source!AV34)*Source!I34, 2), 2)</f>
        <v>0</v>
      </c>
      <c r="T51">
        <f>Source!Y34</f>
        <v>0</v>
      </c>
      <c r="U51">
        <f>ROUND((175/100)*ROUND((Source!AE34*Source!AV34)*Source!I34, 2), 2)</f>
        <v>5405745.6799999997</v>
      </c>
      <c r="V51">
        <f>ROUND((108/100)*ROUND(Source!CS34*Source!I34, 2), 2)</f>
        <v>3336117.33</v>
      </c>
    </row>
    <row r="52" spans="1:22" x14ac:dyDescent="0.25">
      <c r="C52" s="23" t="str">
        <f>"Объем: "&amp;Source!I34&amp;"=126985,2/"&amp;"1000"</f>
        <v>Объем: 126,9852=126985,2/1000</v>
      </c>
    </row>
    <row r="53" spans="1:22" ht="14.5" x14ac:dyDescent="0.35">
      <c r="A53" s="19"/>
      <c r="B53" s="19"/>
      <c r="C53" s="19" t="s">
        <v>341</v>
      </c>
      <c r="D53" s="20"/>
      <c r="E53" s="8"/>
      <c r="F53" s="22">
        <f>Source!AM34</f>
        <v>463.65</v>
      </c>
      <c r="G53" s="21" t="str">
        <f>Source!DE34</f>
        <v>)*111</v>
      </c>
      <c r="H53" s="8">
        <f>Source!AV34</f>
        <v>1</v>
      </c>
      <c r="I53" s="8">
        <f>IF(Source!BB34&lt;&gt; 0, Source!BB34, 1)</f>
        <v>1</v>
      </c>
      <c r="J53" s="22">
        <f>Source!Q34</f>
        <v>6535312.3700000001</v>
      </c>
      <c r="K53" s="22"/>
    </row>
    <row r="54" spans="1:22" ht="14.5" x14ac:dyDescent="0.35">
      <c r="A54" s="19"/>
      <c r="B54" s="19"/>
      <c r="C54" s="19" t="s">
        <v>342</v>
      </c>
      <c r="D54" s="20"/>
      <c r="E54" s="8"/>
      <c r="F54" s="22">
        <f>Source!AN34</f>
        <v>219.15</v>
      </c>
      <c r="G54" s="21" t="str">
        <f>Source!DF34</f>
        <v>)*111</v>
      </c>
      <c r="H54" s="8">
        <f>Source!AV34</f>
        <v>1</v>
      </c>
      <c r="I54" s="8">
        <f>IF(Source!BS34&lt;&gt; 0, Source!BS34, 1)</f>
        <v>1</v>
      </c>
      <c r="J54" s="24">
        <f>Source!R34</f>
        <v>3088997.53</v>
      </c>
      <c r="K54" s="22"/>
    </row>
    <row r="55" spans="1:22" ht="14.5" x14ac:dyDescent="0.35">
      <c r="A55" s="19"/>
      <c r="B55" s="19"/>
      <c r="C55" s="19" t="s">
        <v>350</v>
      </c>
      <c r="D55" s="20"/>
      <c r="E55" s="8"/>
      <c r="F55" s="22">
        <f>Source!AL34</f>
        <v>10.96</v>
      </c>
      <c r="G55" s="21" t="str">
        <f>Source!DD34</f>
        <v>)*111</v>
      </c>
      <c r="H55" s="8">
        <f>Source!AW34</f>
        <v>1</v>
      </c>
      <c r="I55" s="8">
        <f>IF(Source!BC34&lt;&gt; 0, Source!BC34, 1)</f>
        <v>1</v>
      </c>
      <c r="J55" s="22">
        <f>Source!P34</f>
        <v>154485.10999999999</v>
      </c>
      <c r="K55" s="22"/>
    </row>
    <row r="56" spans="1:22" ht="14.5" x14ac:dyDescent="0.35">
      <c r="A56" s="19" t="s">
        <v>36</v>
      </c>
      <c r="B56" s="19" t="str">
        <f>Source!F35</f>
        <v>21.1-25-13</v>
      </c>
      <c r="C56" s="19" t="str">
        <f>Source!G35</f>
        <v>Вода</v>
      </c>
      <c r="D56" s="20" t="str">
        <f>Source!H35</f>
        <v>м3</v>
      </c>
      <c r="E56" s="8">
        <f>Source!I35</f>
        <v>-2819.0714400000002</v>
      </c>
      <c r="F56" s="22">
        <f>Source!AK35</f>
        <v>54.81</v>
      </c>
      <c r="G56" s="29" t="s">
        <v>351</v>
      </c>
      <c r="H56" s="8">
        <f>Source!AW35</f>
        <v>1</v>
      </c>
      <c r="I56" s="8">
        <f>IF(Source!BC35&lt;&gt; 0, Source!BC35, 1)</f>
        <v>1</v>
      </c>
      <c r="J56" s="22">
        <f>Source!O35</f>
        <v>-154513.31</v>
      </c>
      <c r="K56" s="22"/>
      <c r="Q56">
        <f>ROUND((Source!BZ35/100)*ROUND((Source!AF35*Source!AV35)*Source!I35, 2), 2)</f>
        <v>0</v>
      </c>
      <c r="R56">
        <f>Source!X35</f>
        <v>0</v>
      </c>
      <c r="S56">
        <f>ROUND((Source!CA35/100)*ROUND((Source!AF35*Source!AV35)*Source!I35, 2), 2)</f>
        <v>0</v>
      </c>
      <c r="T56">
        <f>Source!Y35</f>
        <v>0</v>
      </c>
      <c r="U56">
        <f>ROUND((175/100)*ROUND((Source!AE35*Source!AV35)*Source!I35, 2), 2)</f>
        <v>0</v>
      </c>
      <c r="V56">
        <f>ROUND((108/100)*ROUND(Source!CS35*Source!I35, 2), 2)</f>
        <v>0</v>
      </c>
    </row>
    <row r="57" spans="1:22" ht="14.5" x14ac:dyDescent="0.35">
      <c r="A57" s="19"/>
      <c r="B57" s="19"/>
      <c r="C57" s="19" t="s">
        <v>343</v>
      </c>
      <c r="D57" s="20" t="s">
        <v>344</v>
      </c>
      <c r="E57" s="8">
        <f>108</f>
        <v>108</v>
      </c>
      <c r="F57" s="22"/>
      <c r="G57" s="21"/>
      <c r="H57" s="8"/>
      <c r="I57" s="8"/>
      <c r="J57" s="22">
        <f>SUM(V51:V56)</f>
        <v>3336117.33</v>
      </c>
      <c r="K57" s="22"/>
    </row>
    <row r="58" spans="1:22" ht="14" x14ac:dyDescent="0.3">
      <c r="A58" s="27"/>
      <c r="B58" s="27"/>
      <c r="C58" s="27"/>
      <c r="D58" s="27"/>
      <c r="E58" s="27"/>
      <c r="F58" s="27"/>
      <c r="G58" s="27"/>
      <c r="H58" s="27"/>
      <c r="I58" s="45">
        <f>J53+J55+J57+SUM(J56:J56)</f>
        <v>9871401.5</v>
      </c>
      <c r="J58" s="45"/>
      <c r="K58" s="28">
        <f>IF(Source!I34&lt;&gt;0, ROUND(I58/Source!I34, 2), 0)</f>
        <v>77736.63</v>
      </c>
      <c r="P58" s="25">
        <f>I58</f>
        <v>9871401.5</v>
      </c>
    </row>
    <row r="59" spans="1:22" ht="28" x14ac:dyDescent="0.35">
      <c r="A59" s="19">
        <v>4</v>
      </c>
      <c r="B59" s="19" t="str">
        <f>Source!F36</f>
        <v>5.3-1101-13-1/1</v>
      </c>
      <c r="C59" s="19" t="str">
        <f>Source!G36</f>
        <v>Подметание вручную дорожек и площадок с твердым покрытием</v>
      </c>
      <c r="D59" s="20" t="str">
        <f>Source!H36</f>
        <v>100 м2</v>
      </c>
      <c r="E59" s="8">
        <f>Source!I36</f>
        <v>317.46300000000002</v>
      </c>
      <c r="F59" s="22"/>
      <c r="G59" s="21"/>
      <c r="H59" s="8"/>
      <c r="I59" s="8"/>
      <c r="J59" s="22"/>
      <c r="K59" s="22"/>
      <c r="Q59">
        <f>ROUND((Source!BZ36/100)*ROUND((Source!AF36*Source!AV36)*Source!I36, 2), 2)</f>
        <v>1564866.5600000001</v>
      </c>
      <c r="R59">
        <f>Source!X36</f>
        <v>1564866.5600000001</v>
      </c>
      <c r="S59">
        <f>ROUND((Source!CA36/100)*ROUND((Source!AF36*Source!AV36)*Source!I36, 2), 2)</f>
        <v>223552.37</v>
      </c>
      <c r="T59">
        <f>Source!Y36</f>
        <v>223552.37</v>
      </c>
      <c r="U59">
        <f>ROUND((175/100)*ROUND((Source!AE36*Source!AV36)*Source!I36, 2), 2)</f>
        <v>0</v>
      </c>
      <c r="V59">
        <f>ROUND((108/100)*ROUND(Source!CS36*Source!I36, 2), 2)</f>
        <v>0</v>
      </c>
    </row>
    <row r="60" spans="1:22" x14ac:dyDescent="0.25">
      <c r="C60" s="23" t="str">
        <f>"Объем: "&amp;Source!I36&amp;"=31746,3/"&amp;"100"</f>
        <v>Объем: 317,463=31746,3/100</v>
      </c>
    </row>
    <row r="61" spans="1:22" ht="14.5" x14ac:dyDescent="0.35">
      <c r="A61" s="19"/>
      <c r="B61" s="19"/>
      <c r="C61" s="19" t="s">
        <v>345</v>
      </c>
      <c r="D61" s="20"/>
      <c r="E61" s="8"/>
      <c r="F61" s="22">
        <f>Source!AO36</f>
        <v>63.44</v>
      </c>
      <c r="G61" s="21" t="str">
        <f>Source!DG36</f>
        <v>)*111</v>
      </c>
      <c r="H61" s="8">
        <f>Source!AV36</f>
        <v>1</v>
      </c>
      <c r="I61" s="8">
        <f>IF(Source!BA36&lt;&gt; 0, Source!BA36, 1)</f>
        <v>1</v>
      </c>
      <c r="J61" s="22">
        <f>Source!S36</f>
        <v>2235523.65</v>
      </c>
      <c r="K61" s="22"/>
    </row>
    <row r="62" spans="1:22" ht="14.5" x14ac:dyDescent="0.35">
      <c r="A62" s="19"/>
      <c r="B62" s="19"/>
      <c r="C62" s="19" t="s">
        <v>346</v>
      </c>
      <c r="D62" s="20" t="s">
        <v>344</v>
      </c>
      <c r="E62" s="8">
        <f>Source!AT36</f>
        <v>70</v>
      </c>
      <c r="F62" s="22"/>
      <c r="G62" s="21"/>
      <c r="H62" s="8"/>
      <c r="I62" s="8"/>
      <c r="J62" s="22">
        <f>SUM(R59:R61)</f>
        <v>1564866.5600000001</v>
      </c>
      <c r="K62" s="22"/>
    </row>
    <row r="63" spans="1:22" ht="14.5" x14ac:dyDescent="0.35">
      <c r="A63" s="19"/>
      <c r="B63" s="19"/>
      <c r="C63" s="19" t="s">
        <v>347</v>
      </c>
      <c r="D63" s="20" t="s">
        <v>344</v>
      </c>
      <c r="E63" s="8">
        <f>Source!AU36</f>
        <v>10</v>
      </c>
      <c r="F63" s="22"/>
      <c r="G63" s="21"/>
      <c r="H63" s="8"/>
      <c r="I63" s="8"/>
      <c r="J63" s="22">
        <f>SUM(T59:T62)</f>
        <v>223552.37</v>
      </c>
      <c r="K63" s="22"/>
    </row>
    <row r="64" spans="1:22" ht="14.5" x14ac:dyDescent="0.35">
      <c r="A64" s="19"/>
      <c r="B64" s="19"/>
      <c r="C64" s="19" t="s">
        <v>348</v>
      </c>
      <c r="D64" s="20" t="s">
        <v>349</v>
      </c>
      <c r="E64" s="8">
        <f>Source!AQ36</f>
        <v>0.14000000000000001</v>
      </c>
      <c r="F64" s="22"/>
      <c r="G64" s="21" t="str">
        <f>Source!DI36</f>
        <v>)*111</v>
      </c>
      <c r="H64" s="8">
        <f>Source!AV36</f>
        <v>1</v>
      </c>
      <c r="I64" s="8"/>
      <c r="J64" s="22"/>
      <c r="K64" s="22">
        <f>Source!U36</f>
        <v>4933.3750200000004</v>
      </c>
    </row>
    <row r="65" spans="1:22" ht="14" x14ac:dyDescent="0.3">
      <c r="A65" s="27"/>
      <c r="B65" s="27"/>
      <c r="C65" s="27"/>
      <c r="D65" s="27"/>
      <c r="E65" s="27"/>
      <c r="F65" s="27"/>
      <c r="G65" s="27"/>
      <c r="H65" s="27"/>
      <c r="I65" s="45">
        <f>J61+J62+J63</f>
        <v>4023942.58</v>
      </c>
      <c r="J65" s="45"/>
      <c r="K65" s="28">
        <f>IF(Source!I36&lt;&gt;0, ROUND(I65/Source!I36, 2), 0)</f>
        <v>12675.31</v>
      </c>
      <c r="P65" s="25">
        <f>I65</f>
        <v>4023942.58</v>
      </c>
    </row>
    <row r="66" spans="1:22" ht="42" x14ac:dyDescent="0.35">
      <c r="A66" s="19">
        <v>5</v>
      </c>
      <c r="B66" s="19" t="str">
        <f>Source!F37</f>
        <v>5.3-1102-13-3/1</v>
      </c>
      <c r="C66" s="19" t="str">
        <f>Source!G37</f>
        <v>Посыпка противогололедными реагентами дорожных покрытий средствами малой механизации</v>
      </c>
      <c r="D66" s="20" t="str">
        <f>Source!H37</f>
        <v>1000 м2</v>
      </c>
      <c r="E66" s="8">
        <f>Source!I37</f>
        <v>126.98520000000001</v>
      </c>
      <c r="F66" s="22"/>
      <c r="G66" s="21"/>
      <c r="H66" s="8"/>
      <c r="I66" s="8"/>
      <c r="J66" s="22"/>
      <c r="K66" s="22"/>
      <c r="Q66">
        <f>ROUND((Source!BZ37/100)*ROUND((Source!AF37*Source!AV37)*Source!I37, 2), 2)</f>
        <v>40267.01</v>
      </c>
      <c r="R66">
        <f>Source!X37</f>
        <v>40267.01</v>
      </c>
      <c r="S66">
        <f>ROUND((Source!CA37/100)*ROUND((Source!AF37*Source!AV37)*Source!I37, 2), 2)</f>
        <v>5752.43</v>
      </c>
      <c r="T66">
        <f>Source!Y37</f>
        <v>5752.43</v>
      </c>
      <c r="U66">
        <f>ROUND((175/100)*ROUND((Source!AE37*Source!AV37)*Source!I37, 2), 2)</f>
        <v>745672.97</v>
      </c>
      <c r="V66">
        <f>ROUND((108/100)*ROUND(Source!CS37*Source!I37, 2), 2)</f>
        <v>460186.75</v>
      </c>
    </row>
    <row r="67" spans="1:22" x14ac:dyDescent="0.25">
      <c r="C67" s="23" t="str">
        <f>"Объем: "&amp;Source!I37&amp;"=126985,2/"&amp;"1000"</f>
        <v>Объем: 126,9852=126985,2/1000</v>
      </c>
    </row>
    <row r="68" spans="1:22" ht="14.5" x14ac:dyDescent="0.35">
      <c r="A68" s="19"/>
      <c r="B68" s="19"/>
      <c r="C68" s="19" t="s">
        <v>345</v>
      </c>
      <c r="D68" s="20"/>
      <c r="E68" s="8"/>
      <c r="F68" s="22">
        <f>Source!AO37</f>
        <v>9.06</v>
      </c>
      <c r="G68" s="21" t="str">
        <f>Source!DG37</f>
        <v>)*50</v>
      </c>
      <c r="H68" s="8">
        <f>Source!AV37</f>
        <v>1</v>
      </c>
      <c r="I68" s="8">
        <f>IF(Source!BA37&lt;&gt; 0, Source!BA37, 1)</f>
        <v>1</v>
      </c>
      <c r="J68" s="22">
        <f>Source!S37</f>
        <v>57524.3</v>
      </c>
      <c r="K68" s="22"/>
    </row>
    <row r="69" spans="1:22" ht="14.5" x14ac:dyDescent="0.35">
      <c r="A69" s="19"/>
      <c r="B69" s="19"/>
      <c r="C69" s="19" t="s">
        <v>341</v>
      </c>
      <c r="D69" s="20"/>
      <c r="E69" s="8"/>
      <c r="F69" s="22">
        <f>Source!AM37</f>
        <v>159.06</v>
      </c>
      <c r="G69" s="21" t="str">
        <f>Source!DE37</f>
        <v>)*50</v>
      </c>
      <c r="H69" s="8">
        <f>Source!AV37</f>
        <v>1</v>
      </c>
      <c r="I69" s="8">
        <f>IF(Source!BB37&lt;&gt; 0, Source!BB37, 1)</f>
        <v>1</v>
      </c>
      <c r="J69" s="22">
        <f>Source!Q37</f>
        <v>1009913.3</v>
      </c>
      <c r="K69" s="22"/>
    </row>
    <row r="70" spans="1:22" ht="14.5" x14ac:dyDescent="0.35">
      <c r="A70" s="19"/>
      <c r="B70" s="19"/>
      <c r="C70" s="19" t="s">
        <v>342</v>
      </c>
      <c r="D70" s="20"/>
      <c r="E70" s="8"/>
      <c r="F70" s="22">
        <f>Source!AN37</f>
        <v>67.11</v>
      </c>
      <c r="G70" s="21" t="str">
        <f>Source!DF37</f>
        <v>)*50</v>
      </c>
      <c r="H70" s="8">
        <f>Source!AV37</f>
        <v>1</v>
      </c>
      <c r="I70" s="8">
        <f>IF(Source!BS37&lt;&gt; 0, Source!BS37, 1)</f>
        <v>1</v>
      </c>
      <c r="J70" s="24">
        <f>Source!R37</f>
        <v>426098.84</v>
      </c>
      <c r="K70" s="22"/>
    </row>
    <row r="71" spans="1:22" ht="14.5" x14ac:dyDescent="0.35">
      <c r="A71" s="19"/>
      <c r="B71" s="19"/>
      <c r="C71" s="19" t="s">
        <v>350</v>
      </c>
      <c r="D71" s="20"/>
      <c r="E71" s="8"/>
      <c r="F71" s="22">
        <f>Source!AL37</f>
        <v>1365</v>
      </c>
      <c r="G71" s="21" t="str">
        <f>Source!DD37</f>
        <v>)*50</v>
      </c>
      <c r="H71" s="8">
        <f>Source!AW37</f>
        <v>1</v>
      </c>
      <c r="I71" s="8">
        <f>IF(Source!BC37&lt;&gt; 0, Source!BC37, 1)</f>
        <v>1</v>
      </c>
      <c r="J71" s="22">
        <f>Source!P37</f>
        <v>8666739.9000000004</v>
      </c>
      <c r="K71" s="22"/>
    </row>
    <row r="72" spans="1:22" ht="14.5" x14ac:dyDescent="0.35">
      <c r="A72" s="19"/>
      <c r="B72" s="19"/>
      <c r="C72" s="19" t="s">
        <v>346</v>
      </c>
      <c r="D72" s="20" t="s">
        <v>344</v>
      </c>
      <c r="E72" s="8">
        <f>Source!AT37</f>
        <v>70</v>
      </c>
      <c r="F72" s="22"/>
      <c r="G72" s="21"/>
      <c r="H72" s="8"/>
      <c r="I72" s="8"/>
      <c r="J72" s="22">
        <f>SUM(R66:R71)</f>
        <v>40267.01</v>
      </c>
      <c r="K72" s="22"/>
    </row>
    <row r="73" spans="1:22" ht="14.5" x14ac:dyDescent="0.35">
      <c r="A73" s="19"/>
      <c r="B73" s="19"/>
      <c r="C73" s="19" t="s">
        <v>347</v>
      </c>
      <c r="D73" s="20" t="s">
        <v>344</v>
      </c>
      <c r="E73" s="8">
        <f>Source!AU37</f>
        <v>10</v>
      </c>
      <c r="F73" s="22"/>
      <c r="G73" s="21"/>
      <c r="H73" s="8"/>
      <c r="I73" s="8"/>
      <c r="J73" s="22">
        <f>SUM(T66:T72)</f>
        <v>5752.43</v>
      </c>
      <c r="K73" s="22"/>
    </row>
    <row r="74" spans="1:22" ht="14.5" x14ac:dyDescent="0.35">
      <c r="A74" s="19"/>
      <c r="B74" s="19"/>
      <c r="C74" s="19" t="s">
        <v>343</v>
      </c>
      <c r="D74" s="20" t="s">
        <v>344</v>
      </c>
      <c r="E74" s="8">
        <f>108</f>
        <v>108</v>
      </c>
      <c r="F74" s="22"/>
      <c r="G74" s="21"/>
      <c r="H74" s="8"/>
      <c r="I74" s="8"/>
      <c r="J74" s="22">
        <f>SUM(V66:V73)</f>
        <v>460186.75</v>
      </c>
      <c r="K74" s="22"/>
    </row>
    <row r="75" spans="1:22" ht="14.5" x14ac:dyDescent="0.35">
      <c r="A75" s="19"/>
      <c r="B75" s="19"/>
      <c r="C75" s="19" t="s">
        <v>348</v>
      </c>
      <c r="D75" s="20" t="s">
        <v>349</v>
      </c>
      <c r="E75" s="8">
        <f>Source!AQ37</f>
        <v>0.02</v>
      </c>
      <c r="F75" s="22"/>
      <c r="G75" s="21" t="str">
        <f>Source!DI37</f>
        <v>)*50</v>
      </c>
      <c r="H75" s="8">
        <f>Source!AV37</f>
        <v>1</v>
      </c>
      <c r="I75" s="8"/>
      <c r="J75" s="22"/>
      <c r="K75" s="22">
        <f>Source!U37</f>
        <v>126.98520000000001</v>
      </c>
    </row>
    <row r="76" spans="1:22" ht="14" x14ac:dyDescent="0.3">
      <c r="A76" s="27"/>
      <c r="B76" s="27"/>
      <c r="C76" s="27"/>
      <c r="D76" s="27"/>
      <c r="E76" s="27"/>
      <c r="F76" s="27"/>
      <c r="G76" s="27"/>
      <c r="H76" s="27"/>
      <c r="I76" s="45">
        <f>J68+J69+J71+J72+J73+J74</f>
        <v>10240383.689999999</v>
      </c>
      <c r="J76" s="45"/>
      <c r="K76" s="28">
        <f>IF(Source!I37&lt;&gt;0, ROUND(I76/Source!I37, 2), 0)</f>
        <v>80642.34</v>
      </c>
      <c r="P76" s="25">
        <f>I76</f>
        <v>10240383.689999999</v>
      </c>
    </row>
    <row r="77" spans="1:22" ht="42" x14ac:dyDescent="0.35">
      <c r="A77" s="19">
        <v>6</v>
      </c>
      <c r="B77" s="19" t="str">
        <f>Source!F38</f>
        <v>5.3-1102-10-3/1</v>
      </c>
      <c r="C77" s="19" t="str">
        <f>Source!G38</f>
        <v>Посыпка противогололедными реагентами ХКНтв дорожных покрытий вручную</v>
      </c>
      <c r="D77" s="20" t="str">
        <f>Source!H38</f>
        <v>100 м2</v>
      </c>
      <c r="E77" s="8">
        <f>Source!I38</f>
        <v>317.46300000000002</v>
      </c>
      <c r="F77" s="22"/>
      <c r="G77" s="21"/>
      <c r="H77" s="8"/>
      <c r="I77" s="8"/>
      <c r="J77" s="22"/>
      <c r="K77" s="22"/>
      <c r="Q77">
        <f>ROUND((Source!BZ38/100)*ROUND((Source!AF38*Source!AV38)*Source!I38, 2), 2)</f>
        <v>1510457.21</v>
      </c>
      <c r="R77">
        <f>Source!X38</f>
        <v>1510457.21</v>
      </c>
      <c r="S77">
        <f>ROUND((Source!CA38/100)*ROUND((Source!AF38*Source!AV38)*Source!I38, 2), 2)</f>
        <v>215779.6</v>
      </c>
      <c r="T77">
        <f>Source!Y38</f>
        <v>215779.6</v>
      </c>
      <c r="U77">
        <f>ROUND((175/100)*ROUND((Source!AE38*Source!AV38)*Source!I38, 2), 2)</f>
        <v>0</v>
      </c>
      <c r="V77">
        <f>ROUND((108/100)*ROUND(Source!CS38*Source!I38, 2), 2)</f>
        <v>0</v>
      </c>
    </row>
    <row r="78" spans="1:22" x14ac:dyDescent="0.25">
      <c r="C78" s="23" t="str">
        <f>"Объем: "&amp;Source!I38&amp;"=31746,3/"&amp;"100"</f>
        <v>Объем: 317,463=31746,3/100</v>
      </c>
    </row>
    <row r="79" spans="1:22" ht="14.5" x14ac:dyDescent="0.35">
      <c r="A79" s="19"/>
      <c r="B79" s="19"/>
      <c r="C79" s="19" t="s">
        <v>345</v>
      </c>
      <c r="D79" s="20"/>
      <c r="E79" s="8"/>
      <c r="F79" s="22">
        <f>Source!AO38</f>
        <v>135.94</v>
      </c>
      <c r="G79" s="21" t="str">
        <f>Source!DG38</f>
        <v>)*50</v>
      </c>
      <c r="H79" s="8">
        <f>Source!AV38</f>
        <v>1</v>
      </c>
      <c r="I79" s="8">
        <f>IF(Source!BA38&lt;&gt; 0, Source!BA38, 1)</f>
        <v>1</v>
      </c>
      <c r="J79" s="22">
        <f>Source!S38</f>
        <v>2157796.0099999998</v>
      </c>
      <c r="K79" s="22"/>
    </row>
    <row r="80" spans="1:22" ht="14.5" x14ac:dyDescent="0.35">
      <c r="A80" s="19"/>
      <c r="B80" s="19"/>
      <c r="C80" s="19" t="s">
        <v>350</v>
      </c>
      <c r="D80" s="20"/>
      <c r="E80" s="8"/>
      <c r="F80" s="22">
        <f>Source!AL38</f>
        <v>136.5</v>
      </c>
      <c r="G80" s="21" t="str">
        <f>Source!DD38</f>
        <v>)*50</v>
      </c>
      <c r="H80" s="8">
        <f>Source!AW38</f>
        <v>1</v>
      </c>
      <c r="I80" s="8">
        <f>IF(Source!BC38&lt;&gt; 0, Source!BC38, 1)</f>
        <v>1</v>
      </c>
      <c r="J80" s="22">
        <f>Source!P38</f>
        <v>2166684.98</v>
      </c>
      <c r="K80" s="22"/>
    </row>
    <row r="81" spans="1:22" ht="14.5" x14ac:dyDescent="0.35">
      <c r="A81" s="19"/>
      <c r="B81" s="19"/>
      <c r="C81" s="19" t="s">
        <v>346</v>
      </c>
      <c r="D81" s="20" t="s">
        <v>344</v>
      </c>
      <c r="E81" s="8">
        <f>Source!AT38</f>
        <v>70</v>
      </c>
      <c r="F81" s="22"/>
      <c r="G81" s="21"/>
      <c r="H81" s="8"/>
      <c r="I81" s="8"/>
      <c r="J81" s="22">
        <f>SUM(R77:R80)</f>
        <v>1510457.21</v>
      </c>
      <c r="K81" s="22"/>
    </row>
    <row r="82" spans="1:22" ht="14.5" x14ac:dyDescent="0.35">
      <c r="A82" s="19"/>
      <c r="B82" s="19"/>
      <c r="C82" s="19" t="s">
        <v>347</v>
      </c>
      <c r="D82" s="20" t="s">
        <v>344</v>
      </c>
      <c r="E82" s="8">
        <f>Source!AU38</f>
        <v>10</v>
      </c>
      <c r="F82" s="22"/>
      <c r="G82" s="21"/>
      <c r="H82" s="8"/>
      <c r="I82" s="8"/>
      <c r="J82" s="22">
        <f>SUM(T77:T81)</f>
        <v>215779.6</v>
      </c>
      <c r="K82" s="22"/>
    </row>
    <row r="83" spans="1:22" ht="14.5" x14ac:dyDescent="0.35">
      <c r="A83" s="19"/>
      <c r="B83" s="19"/>
      <c r="C83" s="19" t="s">
        <v>348</v>
      </c>
      <c r="D83" s="20" t="s">
        <v>349</v>
      </c>
      <c r="E83" s="8">
        <f>Source!AQ38</f>
        <v>0.3</v>
      </c>
      <c r="F83" s="22"/>
      <c r="G83" s="21" t="str">
        <f>Source!DI38</f>
        <v>)*50</v>
      </c>
      <c r="H83" s="8">
        <f>Source!AV38</f>
        <v>1</v>
      </c>
      <c r="I83" s="8"/>
      <c r="J83" s="22"/>
      <c r="K83" s="22">
        <f>Source!U38</f>
        <v>4761.9450000000006</v>
      </c>
    </row>
    <row r="84" spans="1:22" ht="14" x14ac:dyDescent="0.3">
      <c r="A84" s="27"/>
      <c r="B84" s="27"/>
      <c r="C84" s="27"/>
      <c r="D84" s="27"/>
      <c r="E84" s="27"/>
      <c r="F84" s="27"/>
      <c r="G84" s="27"/>
      <c r="H84" s="27"/>
      <c r="I84" s="45">
        <f>J79+J80+J81+J82</f>
        <v>6050717.7999999998</v>
      </c>
      <c r="J84" s="45"/>
      <c r="K84" s="28">
        <f>IF(Source!I38&lt;&gt;0, ROUND(I84/Source!I38, 2), 0)</f>
        <v>19059.599999999999</v>
      </c>
      <c r="P84" s="25">
        <f>I84</f>
        <v>6050717.7999999998</v>
      </c>
    </row>
    <row r="85" spans="1:22" ht="28" x14ac:dyDescent="0.35">
      <c r="A85" s="19">
        <v>7</v>
      </c>
      <c r="B85" s="19" t="str">
        <f>Source!F39</f>
        <v>5.3-1102-9-1/1</v>
      </c>
      <c r="C85" s="19" t="str">
        <f>Source!G39</f>
        <v>Колка льда на обледеневших покрытиях вручную</v>
      </c>
      <c r="D85" s="20" t="str">
        <f>Source!H39</f>
        <v>100 м2</v>
      </c>
      <c r="E85" s="8">
        <f>Source!I39</f>
        <v>15.872999999999999</v>
      </c>
      <c r="F85" s="22"/>
      <c r="G85" s="21"/>
      <c r="H85" s="8"/>
      <c r="I85" s="8"/>
      <c r="J85" s="22"/>
      <c r="K85" s="22"/>
      <c r="Q85">
        <f>ROUND((Source!BZ39/100)*ROUND((Source!AF39*Source!AV39)*Source!I39, 2), 2)</f>
        <v>242681.98</v>
      </c>
      <c r="R85">
        <f>Source!X39</f>
        <v>242681.98</v>
      </c>
      <c r="S85">
        <f>ROUND((Source!CA39/100)*ROUND((Source!AF39*Source!AV39)*Source!I39, 2), 2)</f>
        <v>34668.85</v>
      </c>
      <c r="T85">
        <f>Source!Y39</f>
        <v>34668.85</v>
      </c>
      <c r="U85">
        <f>ROUND((175/100)*ROUND((Source!AE39*Source!AV39)*Source!I39, 2), 2)</f>
        <v>0</v>
      </c>
      <c r="V85">
        <f>ROUND((108/100)*ROUND(Source!CS39*Source!I39, 2), 2)</f>
        <v>0</v>
      </c>
    </row>
    <row r="86" spans="1:22" x14ac:dyDescent="0.25">
      <c r="C86" s="23" t="str">
        <f>"Объем: "&amp;Source!I39&amp;"=1587,3/"&amp;"100"</f>
        <v>Объем: 15,873=1587,3/100</v>
      </c>
    </row>
    <row r="87" spans="1:22" ht="14.5" x14ac:dyDescent="0.35">
      <c r="A87" s="19"/>
      <c r="B87" s="19"/>
      <c r="C87" s="19" t="s">
        <v>345</v>
      </c>
      <c r="D87" s="20"/>
      <c r="E87" s="8"/>
      <c r="F87" s="22">
        <f>Source!AO39</f>
        <v>1092.07</v>
      </c>
      <c r="G87" s="21" t="str">
        <f>Source!DG39</f>
        <v>)*20</v>
      </c>
      <c r="H87" s="8">
        <f>Source!AV39</f>
        <v>1</v>
      </c>
      <c r="I87" s="8">
        <f>IF(Source!BA39&lt;&gt; 0, Source!BA39, 1)</f>
        <v>1</v>
      </c>
      <c r="J87" s="22">
        <f>Source!S39</f>
        <v>346688.54</v>
      </c>
      <c r="K87" s="22"/>
    </row>
    <row r="88" spans="1:22" ht="14.5" x14ac:dyDescent="0.35">
      <c r="A88" s="19"/>
      <c r="B88" s="19"/>
      <c r="C88" s="19" t="s">
        <v>346</v>
      </c>
      <c r="D88" s="20" t="s">
        <v>344</v>
      </c>
      <c r="E88" s="8">
        <f>Source!AT39</f>
        <v>70</v>
      </c>
      <c r="F88" s="22"/>
      <c r="G88" s="21"/>
      <c r="H88" s="8"/>
      <c r="I88" s="8"/>
      <c r="J88" s="22">
        <f>SUM(R85:R87)</f>
        <v>242681.98</v>
      </c>
      <c r="K88" s="22"/>
    </row>
    <row r="89" spans="1:22" ht="14.5" x14ac:dyDescent="0.35">
      <c r="A89" s="19"/>
      <c r="B89" s="19"/>
      <c r="C89" s="19" t="s">
        <v>347</v>
      </c>
      <c r="D89" s="20" t="s">
        <v>344</v>
      </c>
      <c r="E89" s="8">
        <f>Source!AU39</f>
        <v>10</v>
      </c>
      <c r="F89" s="22"/>
      <c r="G89" s="21"/>
      <c r="H89" s="8"/>
      <c r="I89" s="8"/>
      <c r="J89" s="22">
        <f>SUM(T85:T88)</f>
        <v>34668.85</v>
      </c>
      <c r="K89" s="22"/>
    </row>
    <row r="90" spans="1:22" ht="14.5" x14ac:dyDescent="0.35">
      <c r="A90" s="19"/>
      <c r="B90" s="19"/>
      <c r="C90" s="19" t="s">
        <v>348</v>
      </c>
      <c r="D90" s="20" t="s">
        <v>349</v>
      </c>
      <c r="E90" s="8">
        <f>Source!AQ39</f>
        <v>2.41</v>
      </c>
      <c r="F90" s="22"/>
      <c r="G90" s="21" t="str">
        <f>Source!DI39</f>
        <v>)*20</v>
      </c>
      <c r="H90" s="8">
        <f>Source!AV39</f>
        <v>1</v>
      </c>
      <c r="I90" s="8"/>
      <c r="J90" s="22"/>
      <c r="K90" s="22">
        <f>Source!U39</f>
        <v>765.07860000000005</v>
      </c>
    </row>
    <row r="91" spans="1:22" ht="14" x14ac:dyDescent="0.3">
      <c r="A91" s="27"/>
      <c r="B91" s="27"/>
      <c r="C91" s="27"/>
      <c r="D91" s="27"/>
      <c r="E91" s="27"/>
      <c r="F91" s="27"/>
      <c r="G91" s="27"/>
      <c r="H91" s="27"/>
      <c r="I91" s="45">
        <f>J87+J88+J89</f>
        <v>624039.37</v>
      </c>
      <c r="J91" s="45"/>
      <c r="K91" s="28">
        <f>IF(Source!I39&lt;&gt;0, ROUND(I91/Source!I39, 2), 0)</f>
        <v>39314.519999999997</v>
      </c>
      <c r="P91" s="25">
        <f>I91</f>
        <v>624039.37</v>
      </c>
    </row>
    <row r="92" spans="1:22" ht="70" x14ac:dyDescent="0.35">
      <c r="A92" s="19">
        <v>8</v>
      </c>
      <c r="B92" s="19" t="str">
        <f>Source!F40</f>
        <v>5.3-1102-25-1/1</v>
      </c>
      <c r="C92" s="19" t="str">
        <f>Source!G40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92" s="20" t="str">
        <f>Source!H40</f>
        <v>м3</v>
      </c>
      <c r="E92" s="8">
        <f>Source!I40</f>
        <v>28571.67</v>
      </c>
      <c r="F92" s="22"/>
      <c r="G92" s="21"/>
      <c r="H92" s="8"/>
      <c r="I92" s="8"/>
      <c r="J92" s="22"/>
      <c r="K92" s="22"/>
      <c r="Q92">
        <f>ROUND((Source!BZ40/100)*ROUND((Source!AF40*Source!AV40)*Source!I40, 2), 2)</f>
        <v>3353228.33</v>
      </c>
      <c r="R92">
        <f>Source!X40</f>
        <v>3353228.33</v>
      </c>
      <c r="S92">
        <f>ROUND((Source!CA40/100)*ROUND((Source!AF40*Source!AV40)*Source!I40, 2), 2)</f>
        <v>479032.62</v>
      </c>
      <c r="T92">
        <f>Source!Y40</f>
        <v>479032.62</v>
      </c>
      <c r="U92">
        <f>ROUND((175/100)*ROUND((Source!AE40*Source!AV40)*Source!I40, 2), 2)</f>
        <v>17488147.780000001</v>
      </c>
      <c r="V92">
        <f>ROUND((108/100)*ROUND(Source!CS40*Source!I40, 2), 2)</f>
        <v>10792685.48</v>
      </c>
    </row>
    <row r="93" spans="1:22" ht="14.5" x14ac:dyDescent="0.35">
      <c r="A93" s="19"/>
      <c r="B93" s="19"/>
      <c r="C93" s="19" t="s">
        <v>345</v>
      </c>
      <c r="D93" s="20"/>
      <c r="E93" s="8"/>
      <c r="F93" s="22">
        <f>Source!AO40</f>
        <v>167.66</v>
      </c>
      <c r="G93" s="21" t="str">
        <f>Source!DG40</f>
        <v/>
      </c>
      <c r="H93" s="8">
        <f>Source!AV40</f>
        <v>1</v>
      </c>
      <c r="I93" s="8">
        <f>IF(Source!BA40&lt;&gt; 0, Source!BA40, 1)</f>
        <v>1</v>
      </c>
      <c r="J93" s="22">
        <f>Source!S40</f>
        <v>4790326.1900000004</v>
      </c>
      <c r="K93" s="22"/>
    </row>
    <row r="94" spans="1:22" ht="14.5" x14ac:dyDescent="0.35">
      <c r="A94" s="19"/>
      <c r="B94" s="19"/>
      <c r="C94" s="19" t="s">
        <v>341</v>
      </c>
      <c r="D94" s="20"/>
      <c r="E94" s="8"/>
      <c r="F94" s="22">
        <f>Source!AM40</f>
        <v>713</v>
      </c>
      <c r="G94" s="21" t="str">
        <f>Source!DE40</f>
        <v/>
      </c>
      <c r="H94" s="8">
        <f>Source!AV40</f>
        <v>1</v>
      </c>
      <c r="I94" s="8">
        <f>IF(Source!BB40&lt;&gt; 0, Source!BB40, 1)</f>
        <v>1</v>
      </c>
      <c r="J94" s="22">
        <f>Source!Q40</f>
        <v>20371600.710000001</v>
      </c>
      <c r="K94" s="22"/>
    </row>
    <row r="95" spans="1:22" ht="14.5" x14ac:dyDescent="0.35">
      <c r="A95" s="19"/>
      <c r="B95" s="19"/>
      <c r="C95" s="19" t="s">
        <v>342</v>
      </c>
      <c r="D95" s="20"/>
      <c r="E95" s="8"/>
      <c r="F95" s="22">
        <f>Source!AN40</f>
        <v>349.76</v>
      </c>
      <c r="G95" s="21" t="str">
        <f>Source!DF40</f>
        <v/>
      </c>
      <c r="H95" s="8">
        <f>Source!AV40</f>
        <v>1</v>
      </c>
      <c r="I95" s="8">
        <f>IF(Source!BS40&lt;&gt; 0, Source!BS40, 1)</f>
        <v>1</v>
      </c>
      <c r="J95" s="24">
        <f>Source!R40</f>
        <v>9993227.3000000007</v>
      </c>
      <c r="K95" s="22"/>
    </row>
    <row r="96" spans="1:22" ht="14.5" x14ac:dyDescent="0.35">
      <c r="A96" s="19"/>
      <c r="B96" s="19"/>
      <c r="C96" s="19" t="s">
        <v>346</v>
      </c>
      <c r="D96" s="20" t="s">
        <v>344</v>
      </c>
      <c r="E96" s="8">
        <f>Source!AT40</f>
        <v>70</v>
      </c>
      <c r="F96" s="22"/>
      <c r="G96" s="21"/>
      <c r="H96" s="8"/>
      <c r="I96" s="8"/>
      <c r="J96" s="22">
        <f>SUM(R92:R95)</f>
        <v>3353228.33</v>
      </c>
      <c r="K96" s="22"/>
    </row>
    <row r="97" spans="1:22" ht="14.5" x14ac:dyDescent="0.35">
      <c r="A97" s="19"/>
      <c r="B97" s="19"/>
      <c r="C97" s="19" t="s">
        <v>347</v>
      </c>
      <c r="D97" s="20" t="s">
        <v>344</v>
      </c>
      <c r="E97" s="8">
        <f>Source!AU40</f>
        <v>10</v>
      </c>
      <c r="F97" s="22"/>
      <c r="G97" s="21"/>
      <c r="H97" s="8"/>
      <c r="I97" s="8"/>
      <c r="J97" s="22">
        <f>SUM(T92:T96)</f>
        <v>479032.62</v>
      </c>
      <c r="K97" s="22"/>
    </row>
    <row r="98" spans="1:22" ht="14.5" x14ac:dyDescent="0.35">
      <c r="A98" s="19"/>
      <c r="B98" s="19"/>
      <c r="C98" s="19" t="s">
        <v>343</v>
      </c>
      <c r="D98" s="20" t="s">
        <v>344</v>
      </c>
      <c r="E98" s="8">
        <f>108</f>
        <v>108</v>
      </c>
      <c r="F98" s="22"/>
      <c r="G98" s="21"/>
      <c r="H98" s="8"/>
      <c r="I98" s="8"/>
      <c r="J98" s="22">
        <f>SUM(V92:V97)</f>
        <v>10792685.48</v>
      </c>
      <c r="K98" s="22"/>
    </row>
    <row r="99" spans="1:22" ht="14.5" x14ac:dyDescent="0.35">
      <c r="A99" s="19"/>
      <c r="B99" s="19"/>
      <c r="C99" s="19" t="s">
        <v>348</v>
      </c>
      <c r="D99" s="20" t="s">
        <v>349</v>
      </c>
      <c r="E99" s="8">
        <f>Source!AQ40</f>
        <v>0.37</v>
      </c>
      <c r="F99" s="22"/>
      <c r="G99" s="21" t="str">
        <f>Source!DI40</f>
        <v/>
      </c>
      <c r="H99" s="8">
        <f>Source!AV40</f>
        <v>1</v>
      </c>
      <c r="I99" s="8"/>
      <c r="J99" s="22"/>
      <c r="K99" s="22">
        <f>Source!U40</f>
        <v>10571.517899999999</v>
      </c>
    </row>
    <row r="100" spans="1:22" ht="14" x14ac:dyDescent="0.3">
      <c r="A100" s="27"/>
      <c r="B100" s="27"/>
      <c r="C100" s="27"/>
      <c r="D100" s="27"/>
      <c r="E100" s="27"/>
      <c r="F100" s="27"/>
      <c r="G100" s="27"/>
      <c r="H100" s="27"/>
      <c r="I100" s="45">
        <f>J93+J94+J96+J97+J98</f>
        <v>39786873.330000006</v>
      </c>
      <c r="J100" s="45"/>
      <c r="K100" s="28">
        <f>IF(Source!I40&lt;&gt;0, ROUND(I100/Source!I40, 2), 0)</f>
        <v>1392.53</v>
      </c>
      <c r="P100" s="25">
        <f>I100</f>
        <v>39786873.330000006</v>
      </c>
    </row>
    <row r="101" spans="1:22" ht="28" x14ac:dyDescent="0.35">
      <c r="A101" s="19">
        <v>9</v>
      </c>
      <c r="B101" s="19" t="str">
        <f>Source!F41</f>
        <v>5.3-1102-14-1/1</v>
      </c>
      <c r="C101" s="19" t="str">
        <f>Source!G41</f>
        <v>Погрузка снега средствами малой механизации</v>
      </c>
      <c r="D101" s="20" t="str">
        <f>Source!H41</f>
        <v>м3</v>
      </c>
      <c r="E101" s="8">
        <f>Source!I41</f>
        <v>28571.67</v>
      </c>
      <c r="F101" s="22"/>
      <c r="G101" s="21"/>
      <c r="H101" s="8"/>
      <c r="I101" s="8"/>
      <c r="J101" s="22"/>
      <c r="K101" s="22"/>
      <c r="Q101">
        <f>ROUND((Source!BZ41/100)*ROUND((Source!AF41*Source!AV41)*Source!I41, 2), 2)</f>
        <v>0</v>
      </c>
      <c r="R101">
        <f>Source!X41</f>
        <v>0</v>
      </c>
      <c r="S101">
        <f>ROUND((Source!CA41/100)*ROUND((Source!AF41*Source!AV41)*Source!I41, 2), 2)</f>
        <v>0</v>
      </c>
      <c r="T101">
        <f>Source!Y41</f>
        <v>0</v>
      </c>
      <c r="U101">
        <f>ROUND((175/100)*ROUND((Source!AE41*Source!AV41)*Source!I41, 2), 2)</f>
        <v>4629039.12</v>
      </c>
      <c r="V101">
        <f>ROUND((108/100)*ROUND(Source!CS41*Source!I41, 2), 2)</f>
        <v>2856778.43</v>
      </c>
    </row>
    <row r="102" spans="1:22" ht="14.5" x14ac:dyDescent="0.35">
      <c r="A102" s="19"/>
      <c r="B102" s="19"/>
      <c r="C102" s="19" t="s">
        <v>341</v>
      </c>
      <c r="D102" s="20"/>
      <c r="E102" s="8"/>
      <c r="F102" s="22">
        <f>Source!AM41</f>
        <v>188.74</v>
      </c>
      <c r="G102" s="21" t="str">
        <f>Source!DE41</f>
        <v/>
      </c>
      <c r="H102" s="8">
        <f>Source!AV41</f>
        <v>1</v>
      </c>
      <c r="I102" s="8">
        <f>IF(Source!BB41&lt;&gt; 0, Source!BB41, 1)</f>
        <v>1</v>
      </c>
      <c r="J102" s="22">
        <f>Source!Q41</f>
        <v>5392617</v>
      </c>
      <c r="K102" s="22"/>
    </row>
    <row r="103" spans="1:22" ht="14.5" x14ac:dyDescent="0.35">
      <c r="A103" s="19"/>
      <c r="B103" s="19"/>
      <c r="C103" s="19" t="s">
        <v>342</v>
      </c>
      <c r="D103" s="20"/>
      <c r="E103" s="8"/>
      <c r="F103" s="22">
        <f>Source!AN41</f>
        <v>92.58</v>
      </c>
      <c r="G103" s="21" t="str">
        <f>Source!DF41</f>
        <v/>
      </c>
      <c r="H103" s="8">
        <f>Source!AV41</f>
        <v>1</v>
      </c>
      <c r="I103" s="8">
        <f>IF(Source!BS41&lt;&gt; 0, Source!BS41, 1)</f>
        <v>1</v>
      </c>
      <c r="J103" s="24">
        <f>Source!R41</f>
        <v>2645165.21</v>
      </c>
      <c r="K103" s="22"/>
    </row>
    <row r="104" spans="1:22" ht="14.5" x14ac:dyDescent="0.35">
      <c r="A104" s="19"/>
      <c r="B104" s="19"/>
      <c r="C104" s="19" t="s">
        <v>343</v>
      </c>
      <c r="D104" s="20" t="s">
        <v>344</v>
      </c>
      <c r="E104" s="8">
        <f>108</f>
        <v>108</v>
      </c>
      <c r="F104" s="22"/>
      <c r="G104" s="21"/>
      <c r="H104" s="8"/>
      <c r="I104" s="8"/>
      <c r="J104" s="22">
        <f>SUM(V101:V103)</f>
        <v>2856778.43</v>
      </c>
      <c r="K104" s="22"/>
    </row>
    <row r="105" spans="1:22" ht="14" x14ac:dyDescent="0.3">
      <c r="A105" s="27"/>
      <c r="B105" s="27"/>
      <c r="C105" s="27"/>
      <c r="D105" s="27"/>
      <c r="E105" s="27"/>
      <c r="F105" s="27"/>
      <c r="G105" s="27"/>
      <c r="H105" s="27"/>
      <c r="I105" s="45">
        <f>J102+J104</f>
        <v>8249395.4299999997</v>
      </c>
      <c r="J105" s="45"/>
      <c r="K105" s="28">
        <f>IF(Source!I41&lt;&gt;0, ROUND(I105/Source!I41, 2), 0)</f>
        <v>288.73</v>
      </c>
      <c r="P105" s="25">
        <f>I105</f>
        <v>8249395.4299999997</v>
      </c>
    </row>
    <row r="106" spans="1:22" ht="42" x14ac:dyDescent="0.35">
      <c r="A106" s="19">
        <v>10</v>
      </c>
      <c r="B106" s="19" t="str">
        <f>Source!F42</f>
        <v>5.3-1101-13-2/1</v>
      </c>
      <c r="C106" s="19" t="str">
        <f>Source!G42</f>
        <v>Подметание вручную дорожек и площадок с грунтовым и щебеночным покрытием</v>
      </c>
      <c r="D106" s="20" t="str">
        <f>Source!H42</f>
        <v>100 м2</v>
      </c>
      <c r="E106" s="8">
        <f>Source!I42</f>
        <v>32.533999999999999</v>
      </c>
      <c r="F106" s="22"/>
      <c r="G106" s="21"/>
      <c r="H106" s="8"/>
      <c r="I106" s="8"/>
      <c r="J106" s="22"/>
      <c r="K106" s="22"/>
      <c r="Q106">
        <f>ROUND((Source!BZ42/100)*ROUND((Source!AF42*Source!AV42)*Source!I42, 2), 2)</f>
        <v>136215.79</v>
      </c>
      <c r="R106">
        <f>Source!X42</f>
        <v>136215.79</v>
      </c>
      <c r="S106">
        <f>ROUND((Source!CA42/100)*ROUND((Source!AF42*Source!AV42)*Source!I42, 2), 2)</f>
        <v>19459.400000000001</v>
      </c>
      <c r="T106">
        <f>Source!Y42</f>
        <v>19459.400000000001</v>
      </c>
      <c r="U106">
        <f>ROUND((175/100)*ROUND((Source!AE42*Source!AV42)*Source!I42, 2), 2)</f>
        <v>0</v>
      </c>
      <c r="V106">
        <f>ROUND((108/100)*ROUND(Source!CS42*Source!I42, 2), 2)</f>
        <v>0</v>
      </c>
    </row>
    <row r="107" spans="1:22" x14ac:dyDescent="0.25">
      <c r="C107" s="23" t="str">
        <f>"Объем: "&amp;Source!I42&amp;"=3253,4/"&amp;"100"</f>
        <v>Объем: 32,534=3253,4/100</v>
      </c>
    </row>
    <row r="108" spans="1:22" ht="14.5" x14ac:dyDescent="0.35">
      <c r="A108" s="19"/>
      <c r="B108" s="19"/>
      <c r="C108" s="19" t="s">
        <v>345</v>
      </c>
      <c r="D108" s="20"/>
      <c r="E108" s="8"/>
      <c r="F108" s="22">
        <f>Source!AO42</f>
        <v>108.75</v>
      </c>
      <c r="G108" s="21" t="str">
        <f>Source!DG42</f>
        <v>)*55</v>
      </c>
      <c r="H108" s="8">
        <f>Source!AV42</f>
        <v>1</v>
      </c>
      <c r="I108" s="8">
        <f>IF(Source!BA42&lt;&gt; 0, Source!BA42, 1)</f>
        <v>1</v>
      </c>
      <c r="J108" s="22">
        <f>Source!S42</f>
        <v>194593.99</v>
      </c>
      <c r="K108" s="22"/>
    </row>
    <row r="109" spans="1:22" ht="14.5" x14ac:dyDescent="0.35">
      <c r="A109" s="19"/>
      <c r="B109" s="19"/>
      <c r="C109" s="19" t="s">
        <v>346</v>
      </c>
      <c r="D109" s="20" t="s">
        <v>344</v>
      </c>
      <c r="E109" s="8">
        <f>Source!AT42</f>
        <v>70</v>
      </c>
      <c r="F109" s="22"/>
      <c r="G109" s="21"/>
      <c r="H109" s="8"/>
      <c r="I109" s="8"/>
      <c r="J109" s="22">
        <f>SUM(R106:R108)</f>
        <v>136215.79</v>
      </c>
      <c r="K109" s="22"/>
    </row>
    <row r="110" spans="1:22" ht="14.5" x14ac:dyDescent="0.35">
      <c r="A110" s="19"/>
      <c r="B110" s="19"/>
      <c r="C110" s="19" t="s">
        <v>347</v>
      </c>
      <c r="D110" s="20" t="s">
        <v>344</v>
      </c>
      <c r="E110" s="8">
        <f>Source!AU42</f>
        <v>10</v>
      </c>
      <c r="F110" s="22"/>
      <c r="G110" s="21"/>
      <c r="H110" s="8"/>
      <c r="I110" s="8"/>
      <c r="J110" s="22">
        <f>SUM(T106:T109)</f>
        <v>19459.400000000001</v>
      </c>
      <c r="K110" s="22"/>
    </row>
    <row r="111" spans="1:22" ht="14.5" x14ac:dyDescent="0.35">
      <c r="A111" s="19"/>
      <c r="B111" s="19"/>
      <c r="C111" s="19" t="s">
        <v>348</v>
      </c>
      <c r="D111" s="20" t="s">
        <v>349</v>
      </c>
      <c r="E111" s="8">
        <f>Source!AQ42</f>
        <v>0.24</v>
      </c>
      <c r="F111" s="22"/>
      <c r="G111" s="21" t="str">
        <f>Source!DI42</f>
        <v>)*55</v>
      </c>
      <c r="H111" s="8">
        <f>Source!AV42</f>
        <v>1</v>
      </c>
      <c r="I111" s="8"/>
      <c r="J111" s="22"/>
      <c r="K111" s="22">
        <f>Source!U42</f>
        <v>429.44879999999995</v>
      </c>
    </row>
    <row r="112" spans="1:22" ht="14" x14ac:dyDescent="0.3">
      <c r="A112" s="27"/>
      <c r="B112" s="27"/>
      <c r="C112" s="27"/>
      <c r="D112" s="27"/>
      <c r="E112" s="27"/>
      <c r="F112" s="27"/>
      <c r="G112" s="27"/>
      <c r="H112" s="27"/>
      <c r="I112" s="45">
        <f>J108+J109+J110</f>
        <v>350269.18000000005</v>
      </c>
      <c r="J112" s="45"/>
      <c r="K112" s="28">
        <f>IF(Source!I42&lt;&gt;0, ROUND(I112/Source!I42, 2), 0)</f>
        <v>10766.25</v>
      </c>
      <c r="P112" s="25">
        <f>I112</f>
        <v>350269.18000000005</v>
      </c>
    </row>
    <row r="113" spans="1:22" ht="58" x14ac:dyDescent="0.35">
      <c r="A113" s="19">
        <v>11</v>
      </c>
      <c r="B113" s="19" t="str">
        <f>Source!F43</f>
        <v>5.3-1102-23-1/1</v>
      </c>
      <c r="C113" s="19" t="str">
        <f>Source!G43</f>
        <v>Уборка от снега деревянного настила - амфитеатра, тротуаров, лестниц, экотроп</v>
      </c>
      <c r="D113" s="20" t="str">
        <f>Source!H43</f>
        <v>100 м2 горизонтальной проекции</v>
      </c>
      <c r="E113" s="8">
        <f>Source!I43</f>
        <v>11.746</v>
      </c>
      <c r="F113" s="22"/>
      <c r="G113" s="21"/>
      <c r="H113" s="8"/>
      <c r="I113" s="8"/>
      <c r="J113" s="22"/>
      <c r="K113" s="22"/>
      <c r="Q113">
        <f>ROUND((Source!BZ43/100)*ROUND((Source!AF43*Source!AV43)*Source!I43, 2), 2)</f>
        <v>780741.47</v>
      </c>
      <c r="R113">
        <f>Source!X43</f>
        <v>780741.47</v>
      </c>
      <c r="S113">
        <f>ROUND((Source!CA43/100)*ROUND((Source!AF43*Source!AV43)*Source!I43, 2), 2)</f>
        <v>111534.5</v>
      </c>
      <c r="T113">
        <f>Source!Y43</f>
        <v>111534.5</v>
      </c>
      <c r="U113">
        <f>ROUND((175/100)*ROUND((Source!AE43*Source!AV43)*Source!I43, 2), 2)</f>
        <v>0</v>
      </c>
      <c r="V113">
        <f>ROUND((108/100)*ROUND(Source!CS43*Source!I43, 2), 2)</f>
        <v>0</v>
      </c>
    </row>
    <row r="114" spans="1:22" x14ac:dyDescent="0.25">
      <c r="C114" s="23" t="str">
        <f>"Объем: "&amp;Source!I43&amp;"=1174,6/"&amp;"100"</f>
        <v>Объем: 11,746=1174,6/100</v>
      </c>
    </row>
    <row r="115" spans="1:22" ht="14.5" x14ac:dyDescent="0.35">
      <c r="A115" s="19"/>
      <c r="B115" s="19"/>
      <c r="C115" s="19" t="s">
        <v>345</v>
      </c>
      <c r="D115" s="20"/>
      <c r="E115" s="8"/>
      <c r="F115" s="22">
        <f>Source!AO43</f>
        <v>1726.46</v>
      </c>
      <c r="G115" s="21" t="str">
        <f>Source!DG43</f>
        <v>)*55</v>
      </c>
      <c r="H115" s="8">
        <f>Source!AV43</f>
        <v>1</v>
      </c>
      <c r="I115" s="8">
        <f>IF(Source!BA43&lt;&gt; 0, Source!BA43, 1)</f>
        <v>1</v>
      </c>
      <c r="J115" s="22">
        <f>Source!S43</f>
        <v>1115344.95</v>
      </c>
      <c r="K115" s="22"/>
    </row>
    <row r="116" spans="1:22" ht="14.5" x14ac:dyDescent="0.35">
      <c r="A116" s="19"/>
      <c r="B116" s="19"/>
      <c r="C116" s="19" t="s">
        <v>346</v>
      </c>
      <c r="D116" s="20" t="s">
        <v>344</v>
      </c>
      <c r="E116" s="8">
        <f>Source!AT43</f>
        <v>70</v>
      </c>
      <c r="F116" s="22"/>
      <c r="G116" s="21"/>
      <c r="H116" s="8"/>
      <c r="I116" s="8"/>
      <c r="J116" s="22">
        <f>SUM(R113:R115)</f>
        <v>780741.47</v>
      </c>
      <c r="K116" s="22"/>
    </row>
    <row r="117" spans="1:22" ht="14.5" x14ac:dyDescent="0.35">
      <c r="A117" s="19"/>
      <c r="B117" s="19"/>
      <c r="C117" s="19" t="s">
        <v>347</v>
      </c>
      <c r="D117" s="20" t="s">
        <v>344</v>
      </c>
      <c r="E117" s="8">
        <f>Source!AU43</f>
        <v>10</v>
      </c>
      <c r="F117" s="22"/>
      <c r="G117" s="21"/>
      <c r="H117" s="8"/>
      <c r="I117" s="8"/>
      <c r="J117" s="22">
        <f>SUM(T113:T116)</f>
        <v>111534.5</v>
      </c>
      <c r="K117" s="22"/>
    </row>
    <row r="118" spans="1:22" ht="14.5" x14ac:dyDescent="0.35">
      <c r="A118" s="19"/>
      <c r="B118" s="19"/>
      <c r="C118" s="19" t="s">
        <v>348</v>
      </c>
      <c r="D118" s="20" t="s">
        <v>349</v>
      </c>
      <c r="E118" s="8">
        <f>Source!AQ43</f>
        <v>3.81</v>
      </c>
      <c r="F118" s="22"/>
      <c r="G118" s="21" t="str">
        <f>Source!DI43</f>
        <v>)*55</v>
      </c>
      <c r="H118" s="8">
        <f>Source!AV43</f>
        <v>1</v>
      </c>
      <c r="I118" s="8"/>
      <c r="J118" s="22"/>
      <c r="K118" s="22">
        <f>Source!U43</f>
        <v>2461.3743000000004</v>
      </c>
    </row>
    <row r="119" spans="1:22" ht="14" x14ac:dyDescent="0.3">
      <c r="A119" s="27"/>
      <c r="B119" s="27"/>
      <c r="C119" s="27"/>
      <c r="D119" s="27"/>
      <c r="E119" s="27"/>
      <c r="F119" s="27"/>
      <c r="G119" s="27"/>
      <c r="H119" s="27"/>
      <c r="I119" s="45">
        <f>J115+J116+J117</f>
        <v>2007620.92</v>
      </c>
      <c r="J119" s="45"/>
      <c r="K119" s="28">
        <f>IF(Source!I43&lt;&gt;0, ROUND(I119/Source!I43, 2), 0)</f>
        <v>170919.54</v>
      </c>
      <c r="P119" s="25">
        <f>I119</f>
        <v>2007620.92</v>
      </c>
    </row>
    <row r="120" spans="1:22" ht="28" x14ac:dyDescent="0.35">
      <c r="A120" s="19">
        <v>12</v>
      </c>
      <c r="B120" s="19" t="str">
        <f>Source!F44</f>
        <v>5.3-1102-4-1/1</v>
      </c>
      <c r="C120" s="19" t="str">
        <f>Source!G44</f>
        <v>Очистка скамеек, садовых диванов, урн, цветочниц, боллардов от снега вручную</v>
      </c>
      <c r="D120" s="20" t="str">
        <f>Source!H44</f>
        <v>100 м2</v>
      </c>
      <c r="E120" s="8">
        <f>Source!I44</f>
        <v>0.8256</v>
      </c>
      <c r="F120" s="22"/>
      <c r="G120" s="21"/>
      <c r="H120" s="8"/>
      <c r="I120" s="8"/>
      <c r="J120" s="22"/>
      <c r="K120" s="22"/>
      <c r="Q120">
        <f>ROUND((Source!BZ44/100)*ROUND((Source!AF44*Source!AV44)*Source!I44, 2), 2)</f>
        <v>36793.86</v>
      </c>
      <c r="R120">
        <f>Source!X44</f>
        <v>36793.86</v>
      </c>
      <c r="S120">
        <f>ROUND((Source!CA44/100)*ROUND((Source!AF44*Source!AV44)*Source!I44, 2), 2)</f>
        <v>5256.27</v>
      </c>
      <c r="T120">
        <f>Source!Y44</f>
        <v>5256.27</v>
      </c>
      <c r="U120">
        <f>ROUND((175/100)*ROUND((Source!AE44*Source!AV44)*Source!I44, 2), 2)</f>
        <v>0</v>
      </c>
      <c r="V120">
        <f>ROUND((108/100)*ROUND(Source!CS44*Source!I44, 2), 2)</f>
        <v>0</v>
      </c>
    </row>
    <row r="121" spans="1:22" ht="14.5" x14ac:dyDescent="0.35">
      <c r="A121" s="19"/>
      <c r="B121" s="19"/>
      <c r="C121" s="19" t="s">
        <v>345</v>
      </c>
      <c r="D121" s="20"/>
      <c r="E121" s="8"/>
      <c r="F121" s="22">
        <f>Source!AO44</f>
        <v>1273.32</v>
      </c>
      <c r="G121" s="21" t="str">
        <f>Source!DG44</f>
        <v>)*50</v>
      </c>
      <c r="H121" s="8">
        <f>Source!AV44</f>
        <v>1</v>
      </c>
      <c r="I121" s="8">
        <f>IF(Source!BA44&lt;&gt; 0, Source!BA44, 1)</f>
        <v>1</v>
      </c>
      <c r="J121" s="22">
        <f>Source!S44</f>
        <v>52562.65</v>
      </c>
      <c r="K121" s="22"/>
    </row>
    <row r="122" spans="1:22" ht="14.5" x14ac:dyDescent="0.35">
      <c r="A122" s="19"/>
      <c r="B122" s="19"/>
      <c r="C122" s="19" t="s">
        <v>346</v>
      </c>
      <c r="D122" s="20" t="s">
        <v>344</v>
      </c>
      <c r="E122" s="8">
        <f>Source!AT44</f>
        <v>70</v>
      </c>
      <c r="F122" s="22"/>
      <c r="G122" s="21"/>
      <c r="H122" s="8"/>
      <c r="I122" s="8"/>
      <c r="J122" s="22">
        <f>SUM(R120:R121)</f>
        <v>36793.86</v>
      </c>
      <c r="K122" s="22"/>
    </row>
    <row r="123" spans="1:22" ht="14.5" x14ac:dyDescent="0.35">
      <c r="A123" s="19"/>
      <c r="B123" s="19"/>
      <c r="C123" s="19" t="s">
        <v>347</v>
      </c>
      <c r="D123" s="20" t="s">
        <v>344</v>
      </c>
      <c r="E123" s="8">
        <f>Source!AU44</f>
        <v>10</v>
      </c>
      <c r="F123" s="22"/>
      <c r="G123" s="21"/>
      <c r="H123" s="8"/>
      <c r="I123" s="8"/>
      <c r="J123" s="22">
        <f>SUM(T120:T122)</f>
        <v>5256.27</v>
      </c>
      <c r="K123" s="22"/>
    </row>
    <row r="124" spans="1:22" ht="14.5" x14ac:dyDescent="0.35">
      <c r="A124" s="19"/>
      <c r="B124" s="19"/>
      <c r="C124" s="19" t="s">
        <v>348</v>
      </c>
      <c r="D124" s="20" t="s">
        <v>349</v>
      </c>
      <c r="E124" s="8">
        <f>Source!AQ44</f>
        <v>2.81</v>
      </c>
      <c r="F124" s="22"/>
      <c r="G124" s="21" t="str">
        <f>Source!DI44</f>
        <v>)*50</v>
      </c>
      <c r="H124" s="8">
        <f>Source!AV44</f>
        <v>1</v>
      </c>
      <c r="I124" s="8"/>
      <c r="J124" s="22"/>
      <c r="K124" s="22">
        <f>Source!U44</f>
        <v>115.99679999999999</v>
      </c>
    </row>
    <row r="125" spans="1:22" ht="14" x14ac:dyDescent="0.3">
      <c r="A125" s="27"/>
      <c r="B125" s="27"/>
      <c r="C125" s="27"/>
      <c r="D125" s="27"/>
      <c r="E125" s="27"/>
      <c r="F125" s="27"/>
      <c r="G125" s="27"/>
      <c r="H125" s="27"/>
      <c r="I125" s="45">
        <f>J121+J122+J123</f>
        <v>94612.780000000013</v>
      </c>
      <c r="J125" s="45"/>
      <c r="K125" s="28">
        <f>IF(Source!I44&lt;&gt;0, ROUND(I125/Source!I44, 2), 0)</f>
        <v>114598.81</v>
      </c>
      <c r="P125" s="25">
        <f>I125</f>
        <v>94612.780000000013</v>
      </c>
    </row>
    <row r="126" spans="1:22" ht="42" x14ac:dyDescent="0.35">
      <c r="A126" s="19">
        <v>13</v>
      </c>
      <c r="B126" s="19" t="str">
        <f>Source!F45</f>
        <v>5.3-1101-12-1/1</v>
      </c>
      <c r="C126" s="19" t="str">
        <f>Source!G45</f>
        <v>Уход за урнами на придомовых и внутрибольничных территориях, очистка урн опрокидывающихся от мусора</v>
      </c>
      <c r="D126" s="20" t="str">
        <f>Source!H45</f>
        <v>100 шт.</v>
      </c>
      <c r="E126" s="8">
        <f>Source!I45</f>
        <v>0.5</v>
      </c>
      <c r="F126" s="22"/>
      <c r="G126" s="21"/>
      <c r="H126" s="8"/>
      <c r="I126" s="8"/>
      <c r="J126" s="22"/>
      <c r="K126" s="22"/>
      <c r="Q126">
        <f>ROUND((Source!BZ45/100)*ROUND((Source!AF45*Source!AV45)*Source!I45, 2), 2)</f>
        <v>63449.27</v>
      </c>
      <c r="R126">
        <f>Source!X45</f>
        <v>63449.27</v>
      </c>
      <c r="S126">
        <f>ROUND((Source!CA45/100)*ROUND((Source!AF45*Source!AV45)*Source!I45, 2), 2)</f>
        <v>9064.18</v>
      </c>
      <c r="T126">
        <f>Source!Y45</f>
        <v>9064.18</v>
      </c>
      <c r="U126">
        <f>ROUND((175/100)*ROUND((Source!AE45*Source!AV45)*Source!I45, 2), 2)</f>
        <v>0</v>
      </c>
      <c r="V126">
        <f>ROUND((108/100)*ROUND(Source!CS45*Source!I45, 2), 2)</f>
        <v>0</v>
      </c>
    </row>
    <row r="127" spans="1:22" ht="14.5" x14ac:dyDescent="0.35">
      <c r="A127" s="19"/>
      <c r="B127" s="19"/>
      <c r="C127" s="19" t="s">
        <v>345</v>
      </c>
      <c r="D127" s="20"/>
      <c r="E127" s="8"/>
      <c r="F127" s="22">
        <f>Source!AO45</f>
        <v>1092.07</v>
      </c>
      <c r="G127" s="21" t="str">
        <f>Source!DG45</f>
        <v>)*166</v>
      </c>
      <c r="H127" s="8">
        <f>Source!AV45</f>
        <v>1</v>
      </c>
      <c r="I127" s="8">
        <f>IF(Source!BA45&lt;&gt; 0, Source!BA45, 1)</f>
        <v>1</v>
      </c>
      <c r="J127" s="22">
        <f>Source!S45</f>
        <v>90641.81</v>
      </c>
      <c r="K127" s="22"/>
    </row>
    <row r="128" spans="1:22" ht="14.5" x14ac:dyDescent="0.35">
      <c r="A128" s="19"/>
      <c r="B128" s="19"/>
      <c r="C128" s="19" t="s">
        <v>350</v>
      </c>
      <c r="D128" s="20"/>
      <c r="E128" s="8"/>
      <c r="F128" s="22">
        <f>Source!AL45</f>
        <v>275</v>
      </c>
      <c r="G128" s="21" t="str">
        <f>Source!DD45</f>
        <v>)*166</v>
      </c>
      <c r="H128" s="8">
        <f>Source!AW45</f>
        <v>1</v>
      </c>
      <c r="I128" s="8">
        <f>IF(Source!BC45&lt;&gt; 0, Source!BC45, 1)</f>
        <v>1</v>
      </c>
      <c r="J128" s="22">
        <f>Source!P45</f>
        <v>22825</v>
      </c>
      <c r="K128" s="22"/>
    </row>
    <row r="129" spans="1:22" ht="14.5" x14ac:dyDescent="0.35">
      <c r="A129" s="19"/>
      <c r="B129" s="19"/>
      <c r="C129" s="19" t="s">
        <v>346</v>
      </c>
      <c r="D129" s="20" t="s">
        <v>344</v>
      </c>
      <c r="E129" s="8">
        <f>Source!AT45</f>
        <v>70</v>
      </c>
      <c r="F129" s="22"/>
      <c r="G129" s="21"/>
      <c r="H129" s="8"/>
      <c r="I129" s="8"/>
      <c r="J129" s="22">
        <f>SUM(R126:R128)</f>
        <v>63449.27</v>
      </c>
      <c r="K129" s="22"/>
    </row>
    <row r="130" spans="1:22" ht="14.5" x14ac:dyDescent="0.35">
      <c r="A130" s="19"/>
      <c r="B130" s="19"/>
      <c r="C130" s="19" t="s">
        <v>347</v>
      </c>
      <c r="D130" s="20" t="s">
        <v>344</v>
      </c>
      <c r="E130" s="8">
        <f>Source!AU45</f>
        <v>10</v>
      </c>
      <c r="F130" s="22"/>
      <c r="G130" s="21"/>
      <c r="H130" s="8"/>
      <c r="I130" s="8"/>
      <c r="J130" s="22">
        <f>SUM(T126:T129)</f>
        <v>9064.18</v>
      </c>
      <c r="K130" s="22"/>
    </row>
    <row r="131" spans="1:22" ht="14.5" x14ac:dyDescent="0.35">
      <c r="A131" s="19"/>
      <c r="B131" s="19"/>
      <c r="C131" s="19" t="s">
        <v>348</v>
      </c>
      <c r="D131" s="20" t="s">
        <v>349</v>
      </c>
      <c r="E131" s="8">
        <f>Source!AQ45</f>
        <v>2.41</v>
      </c>
      <c r="F131" s="22"/>
      <c r="G131" s="21" t="str">
        <f>Source!DI45</f>
        <v>)*166</v>
      </c>
      <c r="H131" s="8">
        <f>Source!AV45</f>
        <v>1</v>
      </c>
      <c r="I131" s="8"/>
      <c r="J131" s="22"/>
      <c r="K131" s="22">
        <f>Source!U45</f>
        <v>200.03</v>
      </c>
    </row>
    <row r="132" spans="1:22" ht="14" x14ac:dyDescent="0.3">
      <c r="A132" s="27"/>
      <c r="B132" s="27"/>
      <c r="C132" s="27"/>
      <c r="D132" s="27"/>
      <c r="E132" s="27"/>
      <c r="F132" s="27"/>
      <c r="G132" s="27"/>
      <c r="H132" s="27"/>
      <c r="I132" s="45">
        <f>J127+J128+J129+J130</f>
        <v>185980.25999999998</v>
      </c>
      <c r="J132" s="45"/>
      <c r="K132" s="28">
        <f>IF(Source!I45&lt;&gt;0, ROUND(I132/Source!I45, 2), 0)</f>
        <v>371960.52</v>
      </c>
      <c r="P132" s="25">
        <f>I132</f>
        <v>185980.25999999998</v>
      </c>
    </row>
    <row r="133" spans="1:22" ht="28" x14ac:dyDescent="0.35">
      <c r="A133" s="19">
        <v>14</v>
      </c>
      <c r="B133" s="19" t="str">
        <f>Source!F46</f>
        <v>5.4-1202-1-1/1</v>
      </c>
      <c r="C133" s="19" t="str">
        <f>Source!G46</f>
        <v>Рыхление смерзшегося снега по краю газона</v>
      </c>
      <c r="D133" s="20" t="str">
        <f>Source!H46</f>
        <v>м3</v>
      </c>
      <c r="E133" s="8">
        <f>Source!I46</f>
        <v>4537.1400000000003</v>
      </c>
      <c r="F133" s="22"/>
      <c r="G133" s="21"/>
      <c r="H133" s="8"/>
      <c r="I133" s="8"/>
      <c r="J133" s="22"/>
      <c r="K133" s="22"/>
      <c r="Q133">
        <f>ROUND((Source!BZ46/100)*ROUND((Source!AF46*Source!AV46)*Source!I46, 2), 2)</f>
        <v>331002.51</v>
      </c>
      <c r="R133">
        <f>Source!X46</f>
        <v>331002.51</v>
      </c>
      <c r="S133">
        <f>ROUND((Source!CA46/100)*ROUND((Source!AF46*Source!AV46)*Source!I46, 2), 2)</f>
        <v>47286.07</v>
      </c>
      <c r="T133">
        <f>Source!Y46</f>
        <v>47286.07</v>
      </c>
      <c r="U133">
        <f>ROUND((175/100)*ROUND((Source!AE46*Source!AV46)*Source!I46, 2), 2)</f>
        <v>0</v>
      </c>
      <c r="V133">
        <f>ROUND((108/100)*ROUND(Source!CS46*Source!I46, 2), 2)</f>
        <v>0</v>
      </c>
    </row>
    <row r="134" spans="1:22" ht="14.5" x14ac:dyDescent="0.35">
      <c r="A134" s="19"/>
      <c r="B134" s="19"/>
      <c r="C134" s="19" t="s">
        <v>345</v>
      </c>
      <c r="D134" s="20"/>
      <c r="E134" s="8"/>
      <c r="F134" s="22">
        <f>Source!AO46</f>
        <v>104.22</v>
      </c>
      <c r="G134" s="21" t="str">
        <f>Source!DG46</f>
        <v/>
      </c>
      <c r="H134" s="8">
        <f>Source!AV46</f>
        <v>1</v>
      </c>
      <c r="I134" s="8">
        <f>IF(Source!BA46&lt;&gt; 0, Source!BA46, 1)</f>
        <v>1</v>
      </c>
      <c r="J134" s="22">
        <f>Source!S46</f>
        <v>472860.73</v>
      </c>
      <c r="K134" s="22"/>
    </row>
    <row r="135" spans="1:22" ht="14.5" x14ac:dyDescent="0.35">
      <c r="A135" s="19"/>
      <c r="B135" s="19"/>
      <c r="C135" s="19" t="s">
        <v>346</v>
      </c>
      <c r="D135" s="20" t="s">
        <v>344</v>
      </c>
      <c r="E135" s="8">
        <f>Source!AT46</f>
        <v>70</v>
      </c>
      <c r="F135" s="22"/>
      <c r="G135" s="21"/>
      <c r="H135" s="8"/>
      <c r="I135" s="8"/>
      <c r="J135" s="22">
        <f>SUM(R133:R134)</f>
        <v>331002.51</v>
      </c>
      <c r="K135" s="22"/>
    </row>
    <row r="136" spans="1:22" ht="14.5" x14ac:dyDescent="0.35">
      <c r="A136" s="19"/>
      <c r="B136" s="19"/>
      <c r="C136" s="19" t="s">
        <v>347</v>
      </c>
      <c r="D136" s="20" t="s">
        <v>344</v>
      </c>
      <c r="E136" s="8">
        <f>Source!AU46</f>
        <v>10</v>
      </c>
      <c r="F136" s="22"/>
      <c r="G136" s="21"/>
      <c r="H136" s="8"/>
      <c r="I136" s="8"/>
      <c r="J136" s="22">
        <f>SUM(T133:T135)</f>
        <v>47286.07</v>
      </c>
      <c r="K136" s="22"/>
    </row>
    <row r="137" spans="1:22" ht="14.5" x14ac:dyDescent="0.35">
      <c r="A137" s="19"/>
      <c r="B137" s="19"/>
      <c r="C137" s="19" t="s">
        <v>348</v>
      </c>
      <c r="D137" s="20" t="s">
        <v>349</v>
      </c>
      <c r="E137" s="8">
        <f>Source!AQ46</f>
        <v>0.23</v>
      </c>
      <c r="F137" s="22"/>
      <c r="G137" s="21" t="str">
        <f>Source!DI46</f>
        <v/>
      </c>
      <c r="H137" s="8">
        <f>Source!AV46</f>
        <v>1</v>
      </c>
      <c r="I137" s="8"/>
      <c r="J137" s="22"/>
      <c r="K137" s="22">
        <f>Source!U46</f>
        <v>1043.5422000000001</v>
      </c>
    </row>
    <row r="138" spans="1:22" ht="14" x14ac:dyDescent="0.3">
      <c r="A138" s="27"/>
      <c r="B138" s="27"/>
      <c r="C138" s="27"/>
      <c r="D138" s="27"/>
      <c r="E138" s="27"/>
      <c r="F138" s="27"/>
      <c r="G138" s="27"/>
      <c r="H138" s="27"/>
      <c r="I138" s="45">
        <f>J134+J135+J136</f>
        <v>851149.30999999994</v>
      </c>
      <c r="J138" s="45"/>
      <c r="K138" s="28">
        <f>IF(Source!I46&lt;&gt;0, ROUND(I138/Source!I46, 2), 0)</f>
        <v>187.6</v>
      </c>
      <c r="P138" s="25">
        <f>I138</f>
        <v>851149.30999999994</v>
      </c>
    </row>
    <row r="139" spans="1:22" ht="28" x14ac:dyDescent="0.35">
      <c r="A139" s="19">
        <v>15</v>
      </c>
      <c r="B139" s="19" t="str">
        <f>Source!F47</f>
        <v>5.3-1102-7-1/1</v>
      </c>
      <c r="C139" s="19" t="str">
        <f>Source!G47</f>
        <v>Очистка от снега и мусора контейнерной площадки вручную</v>
      </c>
      <c r="D139" s="20" t="str">
        <f>Source!H47</f>
        <v>100 м2</v>
      </c>
      <c r="E139" s="8">
        <f>Source!I47</f>
        <v>0.3</v>
      </c>
      <c r="F139" s="22"/>
      <c r="G139" s="21"/>
      <c r="H139" s="8"/>
      <c r="I139" s="8"/>
      <c r="J139" s="22"/>
      <c r="K139" s="22"/>
      <c r="Q139">
        <f>ROUND((Source!BZ47/100)*ROUND((Source!AF47*Source!AV47)*Source!I47, 2), 2)</f>
        <v>48810.97</v>
      </c>
      <c r="R139">
        <f>Source!X47</f>
        <v>48810.97</v>
      </c>
      <c r="S139">
        <f>ROUND((Source!CA47/100)*ROUND((Source!AF47*Source!AV47)*Source!I47, 2), 2)</f>
        <v>6973</v>
      </c>
      <c r="T139">
        <f>Source!Y47</f>
        <v>6973</v>
      </c>
      <c r="U139">
        <f>ROUND((175/100)*ROUND((Source!AE47*Source!AV47)*Source!I47, 2), 2)</f>
        <v>0</v>
      </c>
      <c r="V139">
        <f>ROUND((108/100)*ROUND(Source!CS47*Source!I47, 2), 2)</f>
        <v>0</v>
      </c>
    </row>
    <row r="140" spans="1:22" ht="14.5" x14ac:dyDescent="0.35">
      <c r="A140" s="19"/>
      <c r="B140" s="19"/>
      <c r="C140" s="19" t="s">
        <v>345</v>
      </c>
      <c r="D140" s="20"/>
      <c r="E140" s="8"/>
      <c r="F140" s="22">
        <f>Source!AO47</f>
        <v>1400.2</v>
      </c>
      <c r="G140" s="21" t="str">
        <f>Source!DG47</f>
        <v>)*166</v>
      </c>
      <c r="H140" s="8">
        <f>Source!AV47</f>
        <v>1</v>
      </c>
      <c r="I140" s="8">
        <f>IF(Source!BA47&lt;&gt; 0, Source!BA47, 1)</f>
        <v>1</v>
      </c>
      <c r="J140" s="22">
        <f>Source!S47</f>
        <v>69729.960000000006</v>
      </c>
      <c r="K140" s="22"/>
    </row>
    <row r="141" spans="1:22" ht="14.5" x14ac:dyDescent="0.35">
      <c r="A141" s="19"/>
      <c r="B141" s="19"/>
      <c r="C141" s="19" t="s">
        <v>346</v>
      </c>
      <c r="D141" s="20" t="s">
        <v>344</v>
      </c>
      <c r="E141" s="8">
        <f>Source!AT47</f>
        <v>70</v>
      </c>
      <c r="F141" s="22"/>
      <c r="G141" s="21"/>
      <c r="H141" s="8"/>
      <c r="I141" s="8"/>
      <c r="J141" s="22">
        <f>SUM(R139:R140)</f>
        <v>48810.97</v>
      </c>
      <c r="K141" s="22"/>
    </row>
    <row r="142" spans="1:22" ht="14.5" x14ac:dyDescent="0.35">
      <c r="A142" s="19"/>
      <c r="B142" s="19"/>
      <c r="C142" s="19" t="s">
        <v>347</v>
      </c>
      <c r="D142" s="20" t="s">
        <v>344</v>
      </c>
      <c r="E142" s="8">
        <f>Source!AU47</f>
        <v>10</v>
      </c>
      <c r="F142" s="22"/>
      <c r="G142" s="21"/>
      <c r="H142" s="8"/>
      <c r="I142" s="8"/>
      <c r="J142" s="22">
        <f>SUM(T139:T141)</f>
        <v>6973</v>
      </c>
      <c r="K142" s="22"/>
    </row>
    <row r="143" spans="1:22" ht="14.5" x14ac:dyDescent="0.35">
      <c r="A143" s="19"/>
      <c r="B143" s="19"/>
      <c r="C143" s="19" t="s">
        <v>348</v>
      </c>
      <c r="D143" s="20" t="s">
        <v>349</v>
      </c>
      <c r="E143" s="8">
        <f>Source!AQ47</f>
        <v>3.09</v>
      </c>
      <c r="F143" s="22"/>
      <c r="G143" s="21" t="str">
        <f>Source!DI47</f>
        <v>)*166</v>
      </c>
      <c r="H143" s="8">
        <f>Source!AV47</f>
        <v>1</v>
      </c>
      <c r="I143" s="8"/>
      <c r="J143" s="22"/>
      <c r="K143" s="22">
        <f>Source!U47</f>
        <v>153.88199999999998</v>
      </c>
    </row>
    <row r="144" spans="1:22" ht="14" x14ac:dyDescent="0.3">
      <c r="A144" s="27"/>
      <c r="B144" s="27"/>
      <c r="C144" s="27"/>
      <c r="D144" s="27"/>
      <c r="E144" s="27"/>
      <c r="F144" s="27"/>
      <c r="G144" s="27"/>
      <c r="H144" s="27"/>
      <c r="I144" s="45">
        <f>J140+J141+J142</f>
        <v>125513.93000000001</v>
      </c>
      <c r="J144" s="45"/>
      <c r="K144" s="28">
        <f>IF(Source!I47&lt;&gt;0, ROUND(I144/Source!I47, 2), 0)</f>
        <v>418379.77</v>
      </c>
      <c r="P144" s="25">
        <f>I144</f>
        <v>125513.93000000001</v>
      </c>
    </row>
    <row r="146" spans="1:32" ht="14" x14ac:dyDescent="0.3">
      <c r="A146" s="44" t="str">
        <f>CONCATENATE("Итого по подразделу: ",IF(Source!G49&lt;&gt;"Новый подраздел", Source!G49, ""))</f>
        <v xml:space="preserve">Итого по подразделу: Подраздел: ЗИМНЯЯ УБОРКА </v>
      </c>
      <c r="B146" s="44"/>
      <c r="C146" s="44"/>
      <c r="D146" s="44"/>
      <c r="E146" s="44"/>
      <c r="F146" s="44"/>
      <c r="G146" s="44"/>
      <c r="H146" s="44"/>
      <c r="I146" s="42">
        <f>SUM(P37:P145)</f>
        <v>103797395.42000002</v>
      </c>
      <c r="J146" s="43"/>
      <c r="K146" s="30"/>
      <c r="AF146" s="31" t="str">
        <f>CONCATENATE("Итого по подразделу: ",IF(Source!G49&lt;&gt;"Новый подраздел", Source!G49, ""))</f>
        <v xml:space="preserve">Итого по подразделу: Подраздел: ЗИМНЯЯ УБОРКА </v>
      </c>
    </row>
    <row r="149" spans="1:32" ht="16.5" x14ac:dyDescent="0.35">
      <c r="A149" s="46" t="str">
        <f>CONCATENATE("Подраздел: ",IF(Source!G79&lt;&gt;"Новый подраздел", Source!G79, ""))</f>
        <v xml:space="preserve">Подраздел: Подраздел: ЛЕТНЯЯ УБОРКА </v>
      </c>
      <c r="B149" s="46"/>
      <c r="C149" s="46"/>
      <c r="D149" s="46"/>
      <c r="E149" s="46"/>
      <c r="F149" s="46"/>
      <c r="G149" s="46"/>
      <c r="H149" s="46"/>
      <c r="I149" s="46"/>
      <c r="J149" s="46"/>
      <c r="K149" s="46"/>
    </row>
    <row r="150" spans="1:32" ht="42" x14ac:dyDescent="0.35">
      <c r="A150" s="19">
        <v>16</v>
      </c>
      <c r="B150" s="19" t="str">
        <f>Source!F83</f>
        <v>5.3-1101-15-1/1</v>
      </c>
      <c r="C150" s="19" t="str">
        <f>Source!G83</f>
        <v>Подметание тротуаров, придомовых и внутрибольничных проездов средствами малой механизации</v>
      </c>
      <c r="D150" s="20" t="str">
        <f>Source!H83</f>
        <v>1000 м2</v>
      </c>
      <c r="E150" s="8">
        <f>Source!I83</f>
        <v>126.98520000000001</v>
      </c>
      <c r="F150" s="22"/>
      <c r="G150" s="21"/>
      <c r="H150" s="8"/>
      <c r="I150" s="8"/>
      <c r="J150" s="22"/>
      <c r="K150" s="22"/>
      <c r="Q150">
        <f>ROUND((Source!BZ83/100)*ROUND((Source!AF83*Source!AV83)*Source!I83, 2), 2)</f>
        <v>0</v>
      </c>
      <c r="R150">
        <f>Source!X83</f>
        <v>0</v>
      </c>
      <c r="S150">
        <f>ROUND((Source!CA83/100)*ROUND((Source!AF83*Source!AV83)*Source!I83, 2), 2)</f>
        <v>0</v>
      </c>
      <c r="T150">
        <f>Source!Y83</f>
        <v>0</v>
      </c>
      <c r="U150">
        <f>ROUND((175/100)*ROUND((Source!AE83*Source!AV83)*Source!I83, 2), 2)</f>
        <v>8327770.3799999999</v>
      </c>
      <c r="V150">
        <f>ROUND((108/100)*ROUND(Source!CS83*Source!I83, 2), 2)</f>
        <v>5139424</v>
      </c>
    </row>
    <row r="151" spans="1:32" x14ac:dyDescent="0.25">
      <c r="C151" s="23" t="str">
        <f>"Объем: "&amp;Source!I83&amp;"=126985,2/"&amp;"1000"</f>
        <v>Объем: 126,9852=126985,2/1000</v>
      </c>
    </row>
    <row r="152" spans="1:32" ht="14.5" x14ac:dyDescent="0.35">
      <c r="A152" s="19"/>
      <c r="B152" s="19"/>
      <c r="C152" s="19" t="s">
        <v>341</v>
      </c>
      <c r="D152" s="20"/>
      <c r="E152" s="8"/>
      <c r="F152" s="22">
        <f>Source!AM83</f>
        <v>463.65</v>
      </c>
      <c r="G152" s="21" t="str">
        <f>Source!DE83</f>
        <v>)*171</v>
      </c>
      <c r="H152" s="8">
        <f>Source!AV83</f>
        <v>1</v>
      </c>
      <c r="I152" s="8">
        <f>IF(Source!BB83&lt;&gt; 0, Source!BB83, 1)</f>
        <v>1</v>
      </c>
      <c r="J152" s="22">
        <f>Source!Q83</f>
        <v>10067913.640000001</v>
      </c>
      <c r="K152" s="22"/>
    </row>
    <row r="153" spans="1:32" ht="14.5" x14ac:dyDescent="0.35">
      <c r="A153" s="19"/>
      <c r="B153" s="19"/>
      <c r="C153" s="19" t="s">
        <v>342</v>
      </c>
      <c r="D153" s="20"/>
      <c r="E153" s="8"/>
      <c r="F153" s="22">
        <f>Source!AN83</f>
        <v>219.15</v>
      </c>
      <c r="G153" s="21" t="str">
        <f>Source!DF83</f>
        <v>)*171</v>
      </c>
      <c r="H153" s="8">
        <f>Source!AV83</f>
        <v>1</v>
      </c>
      <c r="I153" s="8">
        <f>IF(Source!BS83&lt;&gt; 0, Source!BS83, 1)</f>
        <v>1</v>
      </c>
      <c r="J153" s="24">
        <f>Source!R83</f>
        <v>4758725.93</v>
      </c>
      <c r="K153" s="22"/>
    </row>
    <row r="154" spans="1:32" ht="14.5" x14ac:dyDescent="0.35">
      <c r="A154" s="19"/>
      <c r="B154" s="19"/>
      <c r="C154" s="19" t="s">
        <v>350</v>
      </c>
      <c r="D154" s="20"/>
      <c r="E154" s="8"/>
      <c r="F154" s="22">
        <f>Source!AL83</f>
        <v>10.96</v>
      </c>
      <c r="G154" s="21" t="str">
        <f>Source!DD83</f>
        <v>)*171</v>
      </c>
      <c r="H154" s="8">
        <f>Source!AW83</f>
        <v>1</v>
      </c>
      <c r="I154" s="8">
        <f>IF(Source!BC83&lt;&gt; 0, Source!BC83, 1)</f>
        <v>1</v>
      </c>
      <c r="J154" s="22">
        <f>Source!P83</f>
        <v>237990.58</v>
      </c>
      <c r="K154" s="22"/>
    </row>
    <row r="155" spans="1:32" ht="14.5" x14ac:dyDescent="0.35">
      <c r="A155" s="19" t="s">
        <v>150</v>
      </c>
      <c r="B155" s="19" t="str">
        <f>Source!F84</f>
        <v>21.1-25-13</v>
      </c>
      <c r="C155" s="19" t="str">
        <f>Source!G84</f>
        <v>Вода</v>
      </c>
      <c r="D155" s="20" t="str">
        <f>Source!H84</f>
        <v>м3</v>
      </c>
      <c r="E155" s="8">
        <f>Source!I84</f>
        <v>-4342.8938399999997</v>
      </c>
      <c r="F155" s="22">
        <f>Source!AK84</f>
        <v>54.81</v>
      </c>
      <c r="G155" s="29" t="s">
        <v>352</v>
      </c>
      <c r="H155" s="8">
        <f>Source!AW84</f>
        <v>1</v>
      </c>
      <c r="I155" s="8">
        <f>IF(Source!BC84&lt;&gt; 0, Source!BC84, 1)</f>
        <v>1</v>
      </c>
      <c r="J155" s="22">
        <f>Source!O84</f>
        <v>-238034.01</v>
      </c>
      <c r="K155" s="22"/>
      <c r="Q155">
        <f>ROUND((Source!BZ84/100)*ROUND((Source!AF84*Source!AV84)*Source!I84, 2), 2)</f>
        <v>0</v>
      </c>
      <c r="R155">
        <f>Source!X84</f>
        <v>0</v>
      </c>
      <c r="S155">
        <f>ROUND((Source!CA84/100)*ROUND((Source!AF84*Source!AV84)*Source!I84, 2), 2)</f>
        <v>0</v>
      </c>
      <c r="T155">
        <f>Source!Y84</f>
        <v>0</v>
      </c>
      <c r="U155">
        <f>ROUND((175/100)*ROUND((Source!AE84*Source!AV84)*Source!I84, 2), 2)</f>
        <v>0</v>
      </c>
      <c r="V155">
        <f>ROUND((108/100)*ROUND(Source!CS84*Source!I84, 2), 2)</f>
        <v>0</v>
      </c>
    </row>
    <row r="156" spans="1:32" ht="14.5" x14ac:dyDescent="0.35">
      <c r="A156" s="19"/>
      <c r="B156" s="19"/>
      <c r="C156" s="19" t="s">
        <v>343</v>
      </c>
      <c r="D156" s="20" t="s">
        <v>344</v>
      </c>
      <c r="E156" s="8">
        <f>108</f>
        <v>108</v>
      </c>
      <c r="F156" s="22"/>
      <c r="G156" s="21"/>
      <c r="H156" s="8"/>
      <c r="I156" s="8"/>
      <c r="J156" s="22">
        <f>SUM(V150:V155)</f>
        <v>5139424</v>
      </c>
      <c r="K156" s="22"/>
    </row>
    <row r="157" spans="1:32" ht="14" x14ac:dyDescent="0.3">
      <c r="A157" s="27"/>
      <c r="B157" s="27"/>
      <c r="C157" s="27"/>
      <c r="D157" s="27"/>
      <c r="E157" s="27"/>
      <c r="F157" s="27"/>
      <c r="G157" s="27"/>
      <c r="H157" s="27"/>
      <c r="I157" s="45">
        <f>J152+J154+J156+SUM(J155:J155)</f>
        <v>15207294.210000001</v>
      </c>
      <c r="J157" s="45"/>
      <c r="K157" s="28">
        <f>IF(Source!I83&lt;&gt;0, ROUND(I157/Source!I83, 2), 0)</f>
        <v>119756.43</v>
      </c>
      <c r="P157" s="25">
        <f>I157</f>
        <v>15207294.210000001</v>
      </c>
    </row>
    <row r="158" spans="1:32" ht="28" x14ac:dyDescent="0.35">
      <c r="A158" s="19">
        <v>17</v>
      </c>
      <c r="B158" s="19" t="str">
        <f>Source!F85</f>
        <v>5.3-1101-13-1/1</v>
      </c>
      <c r="C158" s="19" t="str">
        <f>Source!G85</f>
        <v>Подметание вручную дорожек и площадок с твердым покрытием</v>
      </c>
      <c r="D158" s="20" t="str">
        <f>Source!H85</f>
        <v>100 м2</v>
      </c>
      <c r="E158" s="8">
        <f>Source!I85</f>
        <v>317.46300000000002</v>
      </c>
      <c r="F158" s="22"/>
      <c r="G158" s="21"/>
      <c r="H158" s="8"/>
      <c r="I158" s="8"/>
      <c r="J158" s="22"/>
      <c r="K158" s="22"/>
      <c r="Q158">
        <f>ROUND((Source!BZ85/100)*ROUND((Source!AF85*Source!AV85)*Source!I85, 2), 2)</f>
        <v>2410740.37</v>
      </c>
      <c r="R158">
        <f>Source!X85</f>
        <v>2410740.37</v>
      </c>
      <c r="S158">
        <f>ROUND((Source!CA85/100)*ROUND((Source!AF85*Source!AV85)*Source!I85, 2), 2)</f>
        <v>344391.48</v>
      </c>
      <c r="T158">
        <f>Source!Y85</f>
        <v>344391.48</v>
      </c>
      <c r="U158">
        <f>ROUND((175/100)*ROUND((Source!AE85*Source!AV85)*Source!I85, 2), 2)</f>
        <v>0</v>
      </c>
      <c r="V158">
        <f>ROUND((108/100)*ROUND(Source!CS85*Source!I85, 2), 2)</f>
        <v>0</v>
      </c>
    </row>
    <row r="159" spans="1:32" x14ac:dyDescent="0.25">
      <c r="C159" s="23" t="str">
        <f>"Объем: "&amp;Source!I85&amp;"=31746,3/"&amp;"100"</f>
        <v>Объем: 317,463=31746,3/100</v>
      </c>
    </row>
    <row r="160" spans="1:32" ht="14.5" x14ac:dyDescent="0.35">
      <c r="A160" s="19"/>
      <c r="B160" s="19"/>
      <c r="C160" s="19" t="s">
        <v>345</v>
      </c>
      <c r="D160" s="20"/>
      <c r="E160" s="8"/>
      <c r="F160" s="22">
        <f>Source!AO85</f>
        <v>63.44</v>
      </c>
      <c r="G160" s="21" t="str">
        <f>Source!DG85</f>
        <v>)*171</v>
      </c>
      <c r="H160" s="8">
        <f>Source!AV85</f>
        <v>1</v>
      </c>
      <c r="I160" s="8">
        <f>IF(Source!BA85&lt;&gt; 0, Source!BA85, 1)</f>
        <v>1</v>
      </c>
      <c r="J160" s="22">
        <f>Source!S85</f>
        <v>3443914.82</v>
      </c>
      <c r="K160" s="22"/>
    </row>
    <row r="161" spans="1:22" ht="14.5" x14ac:dyDescent="0.35">
      <c r="A161" s="19"/>
      <c r="B161" s="19"/>
      <c r="C161" s="19" t="s">
        <v>346</v>
      </c>
      <c r="D161" s="20" t="s">
        <v>344</v>
      </c>
      <c r="E161" s="8">
        <f>Source!AT85</f>
        <v>70</v>
      </c>
      <c r="F161" s="22"/>
      <c r="G161" s="21"/>
      <c r="H161" s="8"/>
      <c r="I161" s="8"/>
      <c r="J161" s="22">
        <f>SUM(R158:R160)</f>
        <v>2410740.37</v>
      </c>
      <c r="K161" s="22"/>
    </row>
    <row r="162" spans="1:22" ht="14.5" x14ac:dyDescent="0.35">
      <c r="A162" s="19"/>
      <c r="B162" s="19"/>
      <c r="C162" s="19" t="s">
        <v>347</v>
      </c>
      <c r="D162" s="20" t="s">
        <v>344</v>
      </c>
      <c r="E162" s="8">
        <f>Source!AU85</f>
        <v>10</v>
      </c>
      <c r="F162" s="22"/>
      <c r="G162" s="21"/>
      <c r="H162" s="8"/>
      <c r="I162" s="8"/>
      <c r="J162" s="22">
        <f>SUM(T158:T161)</f>
        <v>344391.48</v>
      </c>
      <c r="K162" s="22"/>
    </row>
    <row r="163" spans="1:22" ht="14.5" x14ac:dyDescent="0.35">
      <c r="A163" s="19"/>
      <c r="B163" s="19"/>
      <c r="C163" s="19" t="s">
        <v>348</v>
      </c>
      <c r="D163" s="20" t="s">
        <v>349</v>
      </c>
      <c r="E163" s="8">
        <f>Source!AQ85</f>
        <v>0.14000000000000001</v>
      </c>
      <c r="F163" s="22"/>
      <c r="G163" s="21" t="str">
        <f>Source!DI85</f>
        <v>)*171</v>
      </c>
      <c r="H163" s="8">
        <f>Source!AV85</f>
        <v>1</v>
      </c>
      <c r="I163" s="8"/>
      <c r="J163" s="22"/>
      <c r="K163" s="22">
        <f>Source!U85</f>
        <v>7600.0642200000011</v>
      </c>
    </row>
    <row r="164" spans="1:22" ht="14" x14ac:dyDescent="0.3">
      <c r="A164" s="27"/>
      <c r="B164" s="27"/>
      <c r="C164" s="27"/>
      <c r="D164" s="27"/>
      <c r="E164" s="27"/>
      <c r="F164" s="27"/>
      <c r="G164" s="27"/>
      <c r="H164" s="27"/>
      <c r="I164" s="45">
        <f>J160+J161+J162</f>
        <v>6199046.6699999999</v>
      </c>
      <c r="J164" s="45"/>
      <c r="K164" s="28">
        <f>IF(Source!I85&lt;&gt;0, ROUND(I164/Source!I85, 2), 0)</f>
        <v>19526.830000000002</v>
      </c>
      <c r="P164" s="25">
        <f>I164</f>
        <v>6199046.6699999999</v>
      </c>
    </row>
    <row r="165" spans="1:22" ht="42" x14ac:dyDescent="0.35">
      <c r="A165" s="19">
        <v>18</v>
      </c>
      <c r="B165" s="19" t="str">
        <f>Source!F86</f>
        <v>5.3-1101-15-4/1</v>
      </c>
      <c r="C165" s="19" t="str">
        <f>Source!G86</f>
        <v>Полив тротуаров, придомовых и внутрибольничных проездов средствами малой механизации</v>
      </c>
      <c r="D165" s="20" t="str">
        <f>Source!H86</f>
        <v>1000 м2</v>
      </c>
      <c r="E165" s="8">
        <f>Source!I86</f>
        <v>126.98520000000001</v>
      </c>
      <c r="F165" s="22"/>
      <c r="G165" s="21"/>
      <c r="H165" s="8"/>
      <c r="I165" s="8"/>
      <c r="J165" s="22"/>
      <c r="K165" s="22"/>
      <c r="Q165">
        <f>ROUND((Source!BZ86/100)*ROUND((Source!AF86*Source!AV86)*Source!I86, 2), 2)</f>
        <v>0</v>
      </c>
      <c r="R165">
        <f>Source!X86</f>
        <v>0</v>
      </c>
      <c r="S165">
        <f>ROUND((Source!CA86/100)*ROUND((Source!AF86*Source!AV86)*Source!I86, 2), 2)</f>
        <v>0</v>
      </c>
      <c r="T165">
        <f>Source!Y86</f>
        <v>0</v>
      </c>
      <c r="U165">
        <f>ROUND((175/100)*ROUND((Source!AE86*Source!AV86)*Source!I86, 2), 2)</f>
        <v>1101373.75</v>
      </c>
      <c r="V165">
        <f>ROUND((108/100)*ROUND(Source!CS86*Source!I86, 2), 2)</f>
        <v>679704.94</v>
      </c>
    </row>
    <row r="166" spans="1:22" x14ac:dyDescent="0.25">
      <c r="C166" s="23" t="str">
        <f>"Объем: "&amp;Source!I86&amp;"=126985,2/"&amp;"1000"</f>
        <v>Объем: 126,9852=126985,2/1000</v>
      </c>
    </row>
    <row r="167" spans="1:22" ht="14.5" x14ac:dyDescent="0.35">
      <c r="A167" s="19"/>
      <c r="B167" s="19"/>
      <c r="C167" s="19" t="s">
        <v>341</v>
      </c>
      <c r="D167" s="20"/>
      <c r="E167" s="8"/>
      <c r="F167" s="22">
        <f>Source!AM86</f>
        <v>748.98</v>
      </c>
      <c r="G167" s="21" t="str">
        <f>Source!DE86</f>
        <v>)*14</v>
      </c>
      <c r="H167" s="8">
        <f>Source!AV86</f>
        <v>1</v>
      </c>
      <c r="I167" s="8">
        <f>IF(Source!BB86&lt;&gt; 0, Source!BB86, 1)</f>
        <v>1</v>
      </c>
      <c r="J167" s="22">
        <f>Source!Q86</f>
        <v>1331531.25</v>
      </c>
      <c r="K167" s="22"/>
    </row>
    <row r="168" spans="1:22" ht="14.5" x14ac:dyDescent="0.35">
      <c r="A168" s="19"/>
      <c r="B168" s="19"/>
      <c r="C168" s="19" t="s">
        <v>342</v>
      </c>
      <c r="D168" s="20"/>
      <c r="E168" s="8"/>
      <c r="F168" s="22">
        <f>Source!AN86</f>
        <v>354.01</v>
      </c>
      <c r="G168" s="21" t="str">
        <f>Source!DF86</f>
        <v>)*14</v>
      </c>
      <c r="H168" s="8">
        <f>Source!AV86</f>
        <v>1</v>
      </c>
      <c r="I168" s="8">
        <f>IF(Source!BS86&lt;&gt; 0, Source!BS86, 1)</f>
        <v>1</v>
      </c>
      <c r="J168" s="24">
        <f>Source!R86</f>
        <v>629356.43000000005</v>
      </c>
      <c r="K168" s="22"/>
    </row>
    <row r="169" spans="1:22" ht="14.5" x14ac:dyDescent="0.35">
      <c r="A169" s="19"/>
      <c r="B169" s="19"/>
      <c r="C169" s="19" t="s">
        <v>350</v>
      </c>
      <c r="D169" s="20"/>
      <c r="E169" s="8"/>
      <c r="F169" s="22">
        <f>Source!AL86</f>
        <v>19.18</v>
      </c>
      <c r="G169" s="21" t="str">
        <f>Source!DD86</f>
        <v>)*14</v>
      </c>
      <c r="H169" s="8">
        <f>Source!AW86</f>
        <v>1</v>
      </c>
      <c r="I169" s="8">
        <f>IF(Source!BC86&lt;&gt; 0, Source!BC86, 1)</f>
        <v>1</v>
      </c>
      <c r="J169" s="22">
        <f>Source!P86</f>
        <v>34098.07</v>
      </c>
      <c r="K169" s="22"/>
    </row>
    <row r="170" spans="1:22" ht="14.5" x14ac:dyDescent="0.35">
      <c r="A170" s="19" t="s">
        <v>157</v>
      </c>
      <c r="B170" s="19" t="str">
        <f>Source!F87</f>
        <v>21.1-25-13</v>
      </c>
      <c r="C170" s="19" t="str">
        <f>Source!G87</f>
        <v>Вода</v>
      </c>
      <c r="D170" s="20" t="str">
        <f>Source!H87</f>
        <v>м3</v>
      </c>
      <c r="E170" s="8">
        <f>Source!I87</f>
        <v>-622.22748000000001</v>
      </c>
      <c r="F170" s="22">
        <f>Source!AK87</f>
        <v>54.81</v>
      </c>
      <c r="G170" s="29" t="s">
        <v>353</v>
      </c>
      <c r="H170" s="8">
        <f>Source!AW87</f>
        <v>1</v>
      </c>
      <c r="I170" s="8">
        <f>IF(Source!BC87&lt;&gt; 0, Source!BC87, 1)</f>
        <v>1</v>
      </c>
      <c r="J170" s="22">
        <f>Source!O87</f>
        <v>-34104.29</v>
      </c>
      <c r="K170" s="22"/>
      <c r="Q170">
        <f>ROUND((Source!BZ87/100)*ROUND((Source!AF87*Source!AV87)*Source!I87, 2), 2)</f>
        <v>0</v>
      </c>
      <c r="R170">
        <f>Source!X87</f>
        <v>0</v>
      </c>
      <c r="S170">
        <f>ROUND((Source!CA87/100)*ROUND((Source!AF87*Source!AV87)*Source!I87, 2), 2)</f>
        <v>0</v>
      </c>
      <c r="T170">
        <f>Source!Y87</f>
        <v>0</v>
      </c>
      <c r="U170">
        <f>ROUND((175/100)*ROUND((Source!AE87*Source!AV87)*Source!I87, 2), 2)</f>
        <v>0</v>
      </c>
      <c r="V170">
        <f>ROUND((108/100)*ROUND(Source!CS87*Source!I87, 2), 2)</f>
        <v>0</v>
      </c>
    </row>
    <row r="171" spans="1:22" ht="14.5" x14ac:dyDescent="0.35">
      <c r="A171" s="19"/>
      <c r="B171" s="19"/>
      <c r="C171" s="19" t="s">
        <v>343</v>
      </c>
      <c r="D171" s="20" t="s">
        <v>344</v>
      </c>
      <c r="E171" s="8">
        <f>108</f>
        <v>108</v>
      </c>
      <c r="F171" s="22"/>
      <c r="G171" s="21"/>
      <c r="H171" s="8"/>
      <c r="I171" s="8"/>
      <c r="J171" s="22">
        <f>SUM(V165:V170)</f>
        <v>679704.94</v>
      </c>
      <c r="K171" s="22"/>
    </row>
    <row r="172" spans="1:22" ht="14" x14ac:dyDescent="0.3">
      <c r="A172" s="27"/>
      <c r="B172" s="27"/>
      <c r="C172" s="27"/>
      <c r="D172" s="27"/>
      <c r="E172" s="27"/>
      <c r="F172" s="27"/>
      <c r="G172" s="27"/>
      <c r="H172" s="27"/>
      <c r="I172" s="45">
        <f>J167+J169+J171+SUM(J170:J170)</f>
        <v>2011229.97</v>
      </c>
      <c r="J172" s="45"/>
      <c r="K172" s="28">
        <f>IF(Source!I86&lt;&gt;0, ROUND(I172/Source!I86, 2), 0)</f>
        <v>15838.3</v>
      </c>
      <c r="P172" s="25">
        <f>I172</f>
        <v>2011229.97</v>
      </c>
    </row>
    <row r="173" spans="1:22" ht="28" x14ac:dyDescent="0.35">
      <c r="A173" s="19">
        <v>19</v>
      </c>
      <c r="B173" s="19" t="str">
        <f>Source!F88</f>
        <v>5.3-1101-10-1/1</v>
      </c>
      <c r="C173" s="19" t="str">
        <f>Source!G88</f>
        <v>Протирка садовых диванов и скамеек</v>
      </c>
      <c r="D173" s="20" t="str">
        <f>Source!H88</f>
        <v>100 м2</v>
      </c>
      <c r="E173" s="8">
        <f>Source!I88</f>
        <v>0.8256</v>
      </c>
      <c r="F173" s="22"/>
      <c r="G173" s="21"/>
      <c r="H173" s="8"/>
      <c r="I173" s="8"/>
      <c r="J173" s="22"/>
      <c r="K173" s="22"/>
      <c r="Q173">
        <f>ROUND((Source!BZ88/100)*ROUND((Source!AF88*Source!AV88)*Source!I88, 2), 2)</f>
        <v>26122.45</v>
      </c>
      <c r="R173">
        <f>Source!X88</f>
        <v>26122.45</v>
      </c>
      <c r="S173">
        <f>ROUND((Source!CA88/100)*ROUND((Source!AF88*Source!AV88)*Source!I88, 2), 2)</f>
        <v>3731.78</v>
      </c>
      <c r="T173">
        <f>Source!Y88</f>
        <v>3731.78</v>
      </c>
      <c r="U173">
        <f>ROUND((175/100)*ROUND((Source!AE88*Source!AV88)*Source!I88, 2), 2)</f>
        <v>0</v>
      </c>
      <c r="V173">
        <f>ROUND((108/100)*ROUND(Source!CS88*Source!I88, 2), 2)</f>
        <v>0</v>
      </c>
    </row>
    <row r="174" spans="1:22" ht="14.5" x14ac:dyDescent="0.35">
      <c r="A174" s="19"/>
      <c r="B174" s="19"/>
      <c r="C174" s="19" t="s">
        <v>345</v>
      </c>
      <c r="D174" s="20"/>
      <c r="E174" s="8"/>
      <c r="F174" s="22">
        <f>Source!AO88</f>
        <v>2378.9899999999998</v>
      </c>
      <c r="G174" s="21" t="str">
        <f>Source!DG88</f>
        <v>)*19</v>
      </c>
      <c r="H174" s="8">
        <f>Source!AV88</f>
        <v>1</v>
      </c>
      <c r="I174" s="8">
        <f>IF(Source!BA88&lt;&gt; 0, Source!BA88, 1)</f>
        <v>1</v>
      </c>
      <c r="J174" s="22">
        <f>Source!S88</f>
        <v>37317.79</v>
      </c>
      <c r="K174" s="22"/>
    </row>
    <row r="175" spans="1:22" ht="14.5" x14ac:dyDescent="0.35">
      <c r="A175" s="19"/>
      <c r="B175" s="19"/>
      <c r="C175" s="19" t="s">
        <v>350</v>
      </c>
      <c r="D175" s="20"/>
      <c r="E175" s="8"/>
      <c r="F175" s="22">
        <f>Source!AL88</f>
        <v>1.96</v>
      </c>
      <c r="G175" s="21" t="str">
        <f>Source!DD88</f>
        <v>)*19</v>
      </c>
      <c r="H175" s="8">
        <f>Source!AW88</f>
        <v>1</v>
      </c>
      <c r="I175" s="8">
        <f>IF(Source!BC88&lt;&gt; 0, Source!BC88, 1)</f>
        <v>1</v>
      </c>
      <c r="J175" s="22">
        <f>Source!P88</f>
        <v>30.75</v>
      </c>
      <c r="K175" s="22"/>
    </row>
    <row r="176" spans="1:22" ht="14.5" x14ac:dyDescent="0.35">
      <c r="A176" s="19" t="s">
        <v>163</v>
      </c>
      <c r="B176" s="19" t="str">
        <f>Source!F89</f>
        <v>21.1-25-13</v>
      </c>
      <c r="C176" s="19" t="str">
        <f>Source!G89</f>
        <v>Вода</v>
      </c>
      <c r="D176" s="20" t="str">
        <f>Source!H89</f>
        <v>м3</v>
      </c>
      <c r="E176" s="8">
        <f>Source!I89</f>
        <v>-0.156864</v>
      </c>
      <c r="F176" s="22">
        <f>Source!AK89</f>
        <v>54.81</v>
      </c>
      <c r="G176" s="29" t="s">
        <v>354</v>
      </c>
      <c r="H176" s="8">
        <f>Source!AW89</f>
        <v>1</v>
      </c>
      <c r="I176" s="8">
        <f>IF(Source!BC89&lt;&gt; 0, Source!BC89, 1)</f>
        <v>1</v>
      </c>
      <c r="J176" s="22">
        <f>Source!O89</f>
        <v>-8.6</v>
      </c>
      <c r="K176" s="22"/>
      <c r="Q176">
        <f>ROUND((Source!BZ89/100)*ROUND((Source!AF89*Source!AV89)*Source!I89, 2), 2)</f>
        <v>0</v>
      </c>
      <c r="R176">
        <f>Source!X89</f>
        <v>0</v>
      </c>
      <c r="S176">
        <f>ROUND((Source!CA89/100)*ROUND((Source!AF89*Source!AV89)*Source!I89, 2), 2)</f>
        <v>0</v>
      </c>
      <c r="T176">
        <f>Source!Y89</f>
        <v>0</v>
      </c>
      <c r="U176">
        <f>ROUND((175/100)*ROUND((Source!AE89*Source!AV89)*Source!I89, 2), 2)</f>
        <v>0</v>
      </c>
      <c r="V176">
        <f>ROUND((108/100)*ROUND(Source!CS89*Source!I89, 2), 2)</f>
        <v>0</v>
      </c>
    </row>
    <row r="177" spans="1:22" ht="14.5" x14ac:dyDescent="0.35">
      <c r="A177" s="19"/>
      <c r="B177" s="19"/>
      <c r="C177" s="19" t="s">
        <v>346</v>
      </c>
      <c r="D177" s="20" t="s">
        <v>344</v>
      </c>
      <c r="E177" s="8">
        <f>Source!AT88</f>
        <v>70</v>
      </c>
      <c r="F177" s="22"/>
      <c r="G177" s="21"/>
      <c r="H177" s="8"/>
      <c r="I177" s="8"/>
      <c r="J177" s="22">
        <f>SUM(R173:R176)</f>
        <v>26122.45</v>
      </c>
      <c r="K177" s="22"/>
    </row>
    <row r="178" spans="1:22" ht="14.5" x14ac:dyDescent="0.35">
      <c r="A178" s="19"/>
      <c r="B178" s="19"/>
      <c r="C178" s="19" t="s">
        <v>347</v>
      </c>
      <c r="D178" s="20" t="s">
        <v>344</v>
      </c>
      <c r="E178" s="8">
        <f>Source!AU88</f>
        <v>10</v>
      </c>
      <c r="F178" s="22"/>
      <c r="G178" s="21"/>
      <c r="H178" s="8"/>
      <c r="I178" s="8"/>
      <c r="J178" s="22">
        <f>SUM(T173:T177)</f>
        <v>3731.78</v>
      </c>
      <c r="K178" s="22"/>
    </row>
    <row r="179" spans="1:22" ht="14.5" x14ac:dyDescent="0.35">
      <c r="A179" s="19"/>
      <c r="B179" s="19"/>
      <c r="C179" s="19" t="s">
        <v>348</v>
      </c>
      <c r="D179" s="20" t="s">
        <v>349</v>
      </c>
      <c r="E179" s="8">
        <f>Source!AQ88</f>
        <v>5.25</v>
      </c>
      <c r="F179" s="22"/>
      <c r="G179" s="21" t="str">
        <f>Source!DI88</f>
        <v>)*19</v>
      </c>
      <c r="H179" s="8">
        <f>Source!AV88</f>
        <v>1</v>
      </c>
      <c r="I179" s="8"/>
      <c r="J179" s="22"/>
      <c r="K179" s="22">
        <f>Source!U88</f>
        <v>82.3536</v>
      </c>
    </row>
    <row r="180" spans="1:22" ht="14" x14ac:dyDescent="0.3">
      <c r="A180" s="27"/>
      <c r="B180" s="27"/>
      <c r="C180" s="27"/>
      <c r="D180" s="27"/>
      <c r="E180" s="27"/>
      <c r="F180" s="27"/>
      <c r="G180" s="27"/>
      <c r="H180" s="27"/>
      <c r="I180" s="45">
        <f>J174+J175+J177+J178+SUM(J176:J176)</f>
        <v>67194.17</v>
      </c>
      <c r="J180" s="45"/>
      <c r="K180" s="28">
        <f>IF(Source!I88&lt;&gt;0, ROUND(I180/Source!I88, 2), 0)</f>
        <v>81388.289999999994</v>
      </c>
      <c r="P180" s="25">
        <f>I180</f>
        <v>67194.17</v>
      </c>
    </row>
    <row r="181" spans="1:22" ht="42" x14ac:dyDescent="0.35">
      <c r="A181" s="19">
        <v>20</v>
      </c>
      <c r="B181" s="19" t="str">
        <f>Source!F90</f>
        <v>5.3-1101-12-1/1</v>
      </c>
      <c r="C181" s="19" t="str">
        <f>Source!G90</f>
        <v>Уход за урнами на придомовых и внутрибольничных территориях, очистка урн опрокидывающихся от мусора</v>
      </c>
      <c r="D181" s="20" t="str">
        <f>Source!H90</f>
        <v>100 шт.</v>
      </c>
      <c r="E181" s="8">
        <f>Source!I90</f>
        <v>0.5</v>
      </c>
      <c r="F181" s="22"/>
      <c r="G181" s="21"/>
      <c r="H181" s="8"/>
      <c r="I181" s="8"/>
      <c r="J181" s="22"/>
      <c r="K181" s="22"/>
      <c r="Q181">
        <f>ROUND((Source!BZ90/100)*ROUND((Source!AF90*Source!AV90)*Source!I90, 2), 2)</f>
        <v>71093.759999999995</v>
      </c>
      <c r="R181">
        <f>Source!X90</f>
        <v>71093.759999999995</v>
      </c>
      <c r="S181">
        <f>ROUND((Source!CA90/100)*ROUND((Source!AF90*Source!AV90)*Source!I90, 2), 2)</f>
        <v>10156.25</v>
      </c>
      <c r="T181">
        <f>Source!Y90</f>
        <v>10156.25</v>
      </c>
      <c r="U181">
        <f>ROUND((175/100)*ROUND((Source!AE90*Source!AV90)*Source!I90, 2), 2)</f>
        <v>0</v>
      </c>
      <c r="V181">
        <f>ROUND((108/100)*ROUND(Source!CS90*Source!I90, 2), 2)</f>
        <v>0</v>
      </c>
    </row>
    <row r="182" spans="1:22" ht="14.5" x14ac:dyDescent="0.35">
      <c r="A182" s="19"/>
      <c r="B182" s="19"/>
      <c r="C182" s="19" t="s">
        <v>345</v>
      </c>
      <c r="D182" s="20"/>
      <c r="E182" s="8"/>
      <c r="F182" s="22">
        <f>Source!AO90</f>
        <v>1092.07</v>
      </c>
      <c r="G182" s="21" t="str">
        <f>Source!DG90</f>
        <v>)*186</v>
      </c>
      <c r="H182" s="8">
        <f>Source!AV90</f>
        <v>1</v>
      </c>
      <c r="I182" s="8">
        <f>IF(Source!BA90&lt;&gt; 0, Source!BA90, 1)</f>
        <v>1</v>
      </c>
      <c r="J182" s="22">
        <f>Source!S90</f>
        <v>101562.51</v>
      </c>
      <c r="K182" s="22"/>
    </row>
    <row r="183" spans="1:22" ht="14.5" x14ac:dyDescent="0.35">
      <c r="A183" s="19"/>
      <c r="B183" s="19"/>
      <c r="C183" s="19" t="s">
        <v>350</v>
      </c>
      <c r="D183" s="20"/>
      <c r="E183" s="8"/>
      <c r="F183" s="22">
        <f>Source!AL90</f>
        <v>275</v>
      </c>
      <c r="G183" s="21" t="str">
        <f>Source!DD90</f>
        <v>)*186</v>
      </c>
      <c r="H183" s="8">
        <f>Source!AW90</f>
        <v>1</v>
      </c>
      <c r="I183" s="8">
        <f>IF(Source!BC90&lt;&gt; 0, Source!BC90, 1)</f>
        <v>1</v>
      </c>
      <c r="J183" s="22">
        <f>Source!P90</f>
        <v>25575</v>
      </c>
      <c r="K183" s="22"/>
    </row>
    <row r="184" spans="1:22" ht="14.5" x14ac:dyDescent="0.35">
      <c r="A184" s="19"/>
      <c r="B184" s="19"/>
      <c r="C184" s="19" t="s">
        <v>346</v>
      </c>
      <c r="D184" s="20" t="s">
        <v>344</v>
      </c>
      <c r="E184" s="8">
        <f>Source!AT90</f>
        <v>70</v>
      </c>
      <c r="F184" s="22"/>
      <c r="G184" s="21"/>
      <c r="H184" s="8"/>
      <c r="I184" s="8"/>
      <c r="J184" s="22">
        <f>SUM(R181:R183)</f>
        <v>71093.759999999995</v>
      </c>
      <c r="K184" s="22"/>
    </row>
    <row r="185" spans="1:22" ht="14.5" x14ac:dyDescent="0.35">
      <c r="A185" s="19"/>
      <c r="B185" s="19"/>
      <c r="C185" s="19" t="s">
        <v>347</v>
      </c>
      <c r="D185" s="20" t="s">
        <v>344</v>
      </c>
      <c r="E185" s="8">
        <f>Source!AU90</f>
        <v>10</v>
      </c>
      <c r="F185" s="22"/>
      <c r="G185" s="21"/>
      <c r="H185" s="8"/>
      <c r="I185" s="8"/>
      <c r="J185" s="22">
        <f>SUM(T181:T184)</f>
        <v>10156.25</v>
      </c>
      <c r="K185" s="22"/>
    </row>
    <row r="186" spans="1:22" ht="14.5" x14ac:dyDescent="0.35">
      <c r="A186" s="19"/>
      <c r="B186" s="19"/>
      <c r="C186" s="19" t="s">
        <v>348</v>
      </c>
      <c r="D186" s="20" t="s">
        <v>349</v>
      </c>
      <c r="E186" s="8">
        <f>Source!AQ90</f>
        <v>2.41</v>
      </c>
      <c r="F186" s="22"/>
      <c r="G186" s="21" t="str">
        <f>Source!DI90</f>
        <v>)*186</v>
      </c>
      <c r="H186" s="8">
        <f>Source!AV90</f>
        <v>1</v>
      </c>
      <c r="I186" s="8"/>
      <c r="J186" s="22"/>
      <c r="K186" s="22">
        <f>Source!U90</f>
        <v>224.13000000000002</v>
      </c>
    </row>
    <row r="187" spans="1:22" ht="14" x14ac:dyDescent="0.3">
      <c r="A187" s="27"/>
      <c r="B187" s="27"/>
      <c r="C187" s="27"/>
      <c r="D187" s="27"/>
      <c r="E187" s="27"/>
      <c r="F187" s="27"/>
      <c r="G187" s="27"/>
      <c r="H187" s="27"/>
      <c r="I187" s="45">
        <f>J182+J183+J184+J185</f>
        <v>208387.52</v>
      </c>
      <c r="J187" s="45"/>
      <c r="K187" s="28">
        <f>IF(Source!I90&lt;&gt;0, ROUND(I187/Source!I90, 2), 0)</f>
        <v>416775.04</v>
      </c>
      <c r="P187" s="25">
        <f>I187</f>
        <v>208387.52</v>
      </c>
    </row>
    <row r="188" spans="1:22" ht="42" x14ac:dyDescent="0.35">
      <c r="A188" s="19">
        <v>21</v>
      </c>
      <c r="B188" s="19" t="str">
        <f>Source!F91</f>
        <v>5.3-1101-12-3/1</v>
      </c>
      <c r="C188" s="19" t="str">
        <f>Source!G91</f>
        <v>Уход за урнами на придомовых и внутрибольничных территориях, промывка урн опрокидывающихся</v>
      </c>
      <c r="D188" s="20" t="str">
        <f>Source!H91</f>
        <v>100 шт.</v>
      </c>
      <c r="E188" s="8">
        <f>Source!I91</f>
        <v>0.5</v>
      </c>
      <c r="F188" s="22"/>
      <c r="G188" s="21"/>
      <c r="H188" s="8"/>
      <c r="I188" s="8"/>
      <c r="J188" s="22"/>
      <c r="K188" s="22"/>
      <c r="Q188">
        <f>ROUND((Source!BZ91/100)*ROUND((Source!AF91*Source!AV91)*Source!I91, 2), 2)</f>
        <v>26287.81</v>
      </c>
      <c r="R188">
        <f>Source!X91</f>
        <v>26287.81</v>
      </c>
      <c r="S188">
        <f>ROUND((Source!CA91/100)*ROUND((Source!AF91*Source!AV91)*Source!I91, 2), 2)</f>
        <v>3755.4</v>
      </c>
      <c r="T188">
        <f>Source!Y91</f>
        <v>3755.4</v>
      </c>
      <c r="U188">
        <f>ROUND((175/100)*ROUND((Source!AE91*Source!AV91)*Source!I91, 2), 2)</f>
        <v>0</v>
      </c>
      <c r="V188">
        <f>ROUND((108/100)*ROUND(Source!CS91*Source!I91, 2), 2)</f>
        <v>0</v>
      </c>
    </row>
    <row r="189" spans="1:22" ht="14.5" x14ac:dyDescent="0.35">
      <c r="A189" s="19"/>
      <c r="B189" s="19"/>
      <c r="C189" s="19" t="s">
        <v>345</v>
      </c>
      <c r="D189" s="20"/>
      <c r="E189" s="8"/>
      <c r="F189" s="22">
        <f>Source!AO91</f>
        <v>5777.54</v>
      </c>
      <c r="G189" s="21" t="str">
        <f>Source!DG91</f>
        <v>)*13</v>
      </c>
      <c r="H189" s="8">
        <f>Source!AV91</f>
        <v>1</v>
      </c>
      <c r="I189" s="8">
        <f>IF(Source!BA91&lt;&gt; 0, Source!BA91, 1)</f>
        <v>1</v>
      </c>
      <c r="J189" s="22">
        <f>Source!S91</f>
        <v>37554.01</v>
      </c>
      <c r="K189" s="22"/>
    </row>
    <row r="190" spans="1:22" ht="14.5" x14ac:dyDescent="0.35">
      <c r="A190" s="19"/>
      <c r="B190" s="19"/>
      <c r="C190" s="19" t="s">
        <v>350</v>
      </c>
      <c r="D190" s="20"/>
      <c r="E190" s="8"/>
      <c r="F190" s="22">
        <f>Source!AL91</f>
        <v>5687.69</v>
      </c>
      <c r="G190" s="21" t="str">
        <f>Source!DD91</f>
        <v>)*13</v>
      </c>
      <c r="H190" s="8">
        <f>Source!AW91</f>
        <v>1</v>
      </c>
      <c r="I190" s="8">
        <f>IF(Source!BC91&lt;&gt; 0, Source!BC91, 1)</f>
        <v>1</v>
      </c>
      <c r="J190" s="22">
        <f>Source!P91</f>
        <v>36969.99</v>
      </c>
      <c r="K190" s="22"/>
    </row>
    <row r="191" spans="1:22" ht="14.5" x14ac:dyDescent="0.35">
      <c r="A191" s="19"/>
      <c r="B191" s="19"/>
      <c r="C191" s="19" t="s">
        <v>346</v>
      </c>
      <c r="D191" s="20" t="s">
        <v>344</v>
      </c>
      <c r="E191" s="8">
        <f>Source!AT91</f>
        <v>70</v>
      </c>
      <c r="F191" s="22"/>
      <c r="G191" s="21"/>
      <c r="H191" s="8"/>
      <c r="I191" s="8"/>
      <c r="J191" s="22">
        <f>SUM(R188:R190)</f>
        <v>26287.81</v>
      </c>
      <c r="K191" s="22"/>
    </row>
    <row r="192" spans="1:22" ht="14.5" x14ac:dyDescent="0.35">
      <c r="A192" s="19"/>
      <c r="B192" s="19"/>
      <c r="C192" s="19" t="s">
        <v>347</v>
      </c>
      <c r="D192" s="20" t="s">
        <v>344</v>
      </c>
      <c r="E192" s="8">
        <f>Source!AU91</f>
        <v>10</v>
      </c>
      <c r="F192" s="22"/>
      <c r="G192" s="21"/>
      <c r="H192" s="8"/>
      <c r="I192" s="8"/>
      <c r="J192" s="22">
        <f>SUM(T188:T191)</f>
        <v>3755.4</v>
      </c>
      <c r="K192" s="22"/>
    </row>
    <row r="193" spans="1:22" ht="14.5" x14ac:dyDescent="0.35">
      <c r="A193" s="19"/>
      <c r="B193" s="19"/>
      <c r="C193" s="19" t="s">
        <v>348</v>
      </c>
      <c r="D193" s="20" t="s">
        <v>349</v>
      </c>
      <c r="E193" s="8">
        <f>Source!AQ91</f>
        <v>12.75</v>
      </c>
      <c r="F193" s="22"/>
      <c r="G193" s="21" t="str">
        <f>Source!DI91</f>
        <v>)*13</v>
      </c>
      <c r="H193" s="8">
        <f>Source!AV91</f>
        <v>1</v>
      </c>
      <c r="I193" s="8"/>
      <c r="J193" s="22"/>
      <c r="K193" s="22">
        <f>Source!U91</f>
        <v>82.875</v>
      </c>
    </row>
    <row r="194" spans="1:22" ht="14" x14ac:dyDescent="0.3">
      <c r="A194" s="27"/>
      <c r="B194" s="27"/>
      <c r="C194" s="27"/>
      <c r="D194" s="27"/>
      <c r="E194" s="27"/>
      <c r="F194" s="27"/>
      <c r="G194" s="27"/>
      <c r="H194" s="27"/>
      <c r="I194" s="45">
        <f>J189+J190+J191+J192</f>
        <v>104567.20999999999</v>
      </c>
      <c r="J194" s="45"/>
      <c r="K194" s="28">
        <f>IF(Source!I91&lt;&gt;0, ROUND(I194/Source!I91, 2), 0)</f>
        <v>209134.42</v>
      </c>
      <c r="P194" s="25">
        <f>I194</f>
        <v>104567.20999999999</v>
      </c>
    </row>
    <row r="195" spans="1:22" ht="28" x14ac:dyDescent="0.35">
      <c r="A195" s="19">
        <v>22</v>
      </c>
      <c r="B195" s="19" t="str">
        <f>Source!F92</f>
        <v>5.3-1101-11-1/1</v>
      </c>
      <c r="C195" s="19" t="str">
        <f>Source!G92</f>
        <v>Подметание контейнерной площадки с уборкой мусора</v>
      </c>
      <c r="D195" s="20" t="str">
        <f>Source!H92</f>
        <v>10 м2</v>
      </c>
      <c r="E195" s="8">
        <f>Source!I92</f>
        <v>3</v>
      </c>
      <c r="F195" s="22"/>
      <c r="G195" s="21"/>
      <c r="H195" s="8"/>
      <c r="I195" s="8"/>
      <c r="J195" s="22"/>
      <c r="K195" s="22"/>
      <c r="Q195">
        <f>ROUND((Source!BZ92/100)*ROUND((Source!AF92*Source!AV92)*Source!I92, 2), 2)</f>
        <v>56809.33</v>
      </c>
      <c r="R195">
        <f>Source!X92</f>
        <v>56809.33</v>
      </c>
      <c r="S195">
        <f>ROUND((Source!CA92/100)*ROUND((Source!AF92*Source!AV92)*Source!I92, 2), 2)</f>
        <v>8115.62</v>
      </c>
      <c r="T195">
        <f>Source!Y92</f>
        <v>8115.62</v>
      </c>
      <c r="U195">
        <f>ROUND((175/100)*ROUND((Source!AE92*Source!AV92)*Source!I92, 2), 2)</f>
        <v>0</v>
      </c>
      <c r="V195">
        <f>ROUND((108/100)*ROUND(Source!CS92*Source!I92, 2), 2)</f>
        <v>0</v>
      </c>
    </row>
    <row r="196" spans="1:22" ht="14.5" x14ac:dyDescent="0.35">
      <c r="A196" s="19"/>
      <c r="B196" s="19"/>
      <c r="C196" s="19" t="s">
        <v>345</v>
      </c>
      <c r="D196" s="20"/>
      <c r="E196" s="8"/>
      <c r="F196" s="22">
        <f>Source!AO92</f>
        <v>135.94</v>
      </c>
      <c r="G196" s="21" t="str">
        <f>Source!DG92</f>
        <v>)*199</v>
      </c>
      <c r="H196" s="8">
        <f>Source!AV92</f>
        <v>1</v>
      </c>
      <c r="I196" s="8">
        <f>IF(Source!BA92&lt;&gt; 0, Source!BA92, 1)</f>
        <v>1</v>
      </c>
      <c r="J196" s="22">
        <f>Source!S92</f>
        <v>81156.179999999993</v>
      </c>
      <c r="K196" s="22"/>
    </row>
    <row r="197" spans="1:22" ht="14.5" x14ac:dyDescent="0.35">
      <c r="A197" s="19"/>
      <c r="B197" s="19"/>
      <c r="C197" s="19" t="s">
        <v>346</v>
      </c>
      <c r="D197" s="20" t="s">
        <v>344</v>
      </c>
      <c r="E197" s="8">
        <f>Source!AT92</f>
        <v>70</v>
      </c>
      <c r="F197" s="22"/>
      <c r="G197" s="21"/>
      <c r="H197" s="8"/>
      <c r="I197" s="8"/>
      <c r="J197" s="22">
        <f>SUM(R195:R196)</f>
        <v>56809.33</v>
      </c>
      <c r="K197" s="22"/>
    </row>
    <row r="198" spans="1:22" ht="14.5" x14ac:dyDescent="0.35">
      <c r="A198" s="19"/>
      <c r="B198" s="19"/>
      <c r="C198" s="19" t="s">
        <v>347</v>
      </c>
      <c r="D198" s="20" t="s">
        <v>344</v>
      </c>
      <c r="E198" s="8">
        <f>Source!AU92</f>
        <v>10</v>
      </c>
      <c r="F198" s="22"/>
      <c r="G198" s="21"/>
      <c r="H198" s="8"/>
      <c r="I198" s="8"/>
      <c r="J198" s="22">
        <f>SUM(T195:T197)</f>
        <v>8115.62</v>
      </c>
      <c r="K198" s="22"/>
    </row>
    <row r="199" spans="1:22" ht="14.5" x14ac:dyDescent="0.35">
      <c r="A199" s="19"/>
      <c r="B199" s="19"/>
      <c r="C199" s="19" t="s">
        <v>348</v>
      </c>
      <c r="D199" s="20" t="s">
        <v>349</v>
      </c>
      <c r="E199" s="8">
        <f>Source!AQ92</f>
        <v>0.3</v>
      </c>
      <c r="F199" s="22"/>
      <c r="G199" s="21" t="str">
        <f>Source!DI92</f>
        <v>)*199</v>
      </c>
      <c r="H199" s="8">
        <f>Source!AV92</f>
        <v>1</v>
      </c>
      <c r="I199" s="8"/>
      <c r="J199" s="22"/>
      <c r="K199" s="22">
        <f>Source!U92</f>
        <v>179.1</v>
      </c>
    </row>
    <row r="200" spans="1:22" ht="14" x14ac:dyDescent="0.3">
      <c r="A200" s="27"/>
      <c r="B200" s="27"/>
      <c r="C200" s="27"/>
      <c r="D200" s="27"/>
      <c r="E200" s="27"/>
      <c r="F200" s="27"/>
      <c r="G200" s="27"/>
      <c r="H200" s="27"/>
      <c r="I200" s="45">
        <f>J196+J197+J198</f>
        <v>146081.13</v>
      </c>
      <c r="J200" s="45"/>
      <c r="K200" s="28">
        <f>IF(Source!I92&lt;&gt;0, ROUND(I200/Source!I92, 2), 0)</f>
        <v>48693.71</v>
      </c>
      <c r="P200" s="25">
        <f>I200</f>
        <v>146081.13</v>
      </c>
    </row>
    <row r="201" spans="1:22" ht="42" x14ac:dyDescent="0.35">
      <c r="A201" s="19">
        <v>23</v>
      </c>
      <c r="B201" s="19" t="str">
        <f>Source!F93</f>
        <v>5.3-1101-4-2/1</v>
      </c>
      <c r="C201" s="19" t="str">
        <f>Source!G93</f>
        <v>Промывка оград металлических простого рисунка от пыли и грязи водой под напором</v>
      </c>
      <c r="D201" s="20" t="str">
        <f>Source!H93</f>
        <v>100 м2</v>
      </c>
      <c r="E201" s="8">
        <f>Source!I93</f>
        <v>26.088000000000001</v>
      </c>
      <c r="F201" s="22"/>
      <c r="G201" s="21"/>
      <c r="H201" s="8"/>
      <c r="I201" s="8"/>
      <c r="J201" s="22"/>
      <c r="K201" s="22"/>
      <c r="Q201">
        <f>ROUND((Source!BZ93/100)*ROUND((Source!AF93*Source!AV93)*Source!I93, 2), 2)</f>
        <v>20853.29</v>
      </c>
      <c r="R201">
        <f>Source!X93</f>
        <v>20853.29</v>
      </c>
      <c r="S201">
        <f>ROUND((Source!CA93/100)*ROUND((Source!AF93*Source!AV93)*Source!I93, 2), 2)</f>
        <v>2979.04</v>
      </c>
      <c r="T201">
        <f>Source!Y93</f>
        <v>2979.04</v>
      </c>
      <c r="U201">
        <f>ROUND((175/100)*ROUND((Source!AE93*Source!AV93)*Source!I93, 2), 2)</f>
        <v>116323.66</v>
      </c>
      <c r="V201">
        <f>ROUND((108/100)*ROUND(Source!CS93*Source!I93, 2), 2)</f>
        <v>71788.31</v>
      </c>
    </row>
    <row r="202" spans="1:22" x14ac:dyDescent="0.25">
      <c r="C202" s="23" t="str">
        <f>"Объем: "&amp;Source!I93&amp;"=2608,8/"&amp;"100"</f>
        <v>Объем: 26,088=2608,8/100</v>
      </c>
    </row>
    <row r="203" spans="1:22" ht="14.5" x14ac:dyDescent="0.35">
      <c r="A203" s="19"/>
      <c r="B203" s="19"/>
      <c r="C203" s="19" t="s">
        <v>345</v>
      </c>
      <c r="D203" s="20"/>
      <c r="E203" s="8"/>
      <c r="F203" s="22">
        <f>Source!AO93</f>
        <v>570.96</v>
      </c>
      <c r="G203" s="21" t="str">
        <f>Source!DG93</f>
        <v>)*2</v>
      </c>
      <c r="H203" s="8">
        <f>Source!AV93</f>
        <v>1</v>
      </c>
      <c r="I203" s="8">
        <f>IF(Source!BA93&lt;&gt; 0, Source!BA93, 1)</f>
        <v>1</v>
      </c>
      <c r="J203" s="22">
        <f>Source!S93</f>
        <v>29790.41</v>
      </c>
      <c r="K203" s="22"/>
    </row>
    <row r="204" spans="1:22" ht="14.5" x14ac:dyDescent="0.35">
      <c r="A204" s="19"/>
      <c r="B204" s="19"/>
      <c r="C204" s="19" t="s">
        <v>341</v>
      </c>
      <c r="D204" s="20"/>
      <c r="E204" s="8"/>
      <c r="F204" s="22">
        <f>Source!AM93</f>
        <v>2907.09</v>
      </c>
      <c r="G204" s="21" t="str">
        <f>Source!DE93</f>
        <v>)*2</v>
      </c>
      <c r="H204" s="8">
        <f>Source!AV93</f>
        <v>1</v>
      </c>
      <c r="I204" s="8">
        <f>IF(Source!BB93&lt;&gt; 0, Source!BB93, 1)</f>
        <v>1</v>
      </c>
      <c r="J204" s="22">
        <f>Source!Q93</f>
        <v>151680.32999999999</v>
      </c>
      <c r="K204" s="22"/>
    </row>
    <row r="205" spans="1:22" ht="14.5" x14ac:dyDescent="0.35">
      <c r="A205" s="19"/>
      <c r="B205" s="19"/>
      <c r="C205" s="19" t="s">
        <v>342</v>
      </c>
      <c r="D205" s="20"/>
      <c r="E205" s="8"/>
      <c r="F205" s="22">
        <f>Source!AN93</f>
        <v>1273.97</v>
      </c>
      <c r="G205" s="21" t="str">
        <f>Source!DF93</f>
        <v>)*2</v>
      </c>
      <c r="H205" s="8">
        <f>Source!AV93</f>
        <v>1</v>
      </c>
      <c r="I205" s="8">
        <f>IF(Source!BS93&lt;&gt; 0, Source!BS93, 1)</f>
        <v>1</v>
      </c>
      <c r="J205" s="24">
        <f>Source!R93</f>
        <v>66470.66</v>
      </c>
      <c r="K205" s="22"/>
    </row>
    <row r="206" spans="1:22" ht="14.5" x14ac:dyDescent="0.35">
      <c r="A206" s="19"/>
      <c r="B206" s="19"/>
      <c r="C206" s="19" t="s">
        <v>350</v>
      </c>
      <c r="D206" s="20"/>
      <c r="E206" s="8"/>
      <c r="F206" s="22">
        <f>Source!AL93</f>
        <v>43.85</v>
      </c>
      <c r="G206" s="21" t="str">
        <f>Source!DD93</f>
        <v>)*2</v>
      </c>
      <c r="H206" s="8">
        <f>Source!AW93</f>
        <v>1</v>
      </c>
      <c r="I206" s="8">
        <f>IF(Source!BC93&lt;&gt; 0, Source!BC93, 1)</f>
        <v>1</v>
      </c>
      <c r="J206" s="22">
        <f>Source!P93</f>
        <v>2287.92</v>
      </c>
      <c r="K206" s="22"/>
    </row>
    <row r="207" spans="1:22" ht="14.5" x14ac:dyDescent="0.35">
      <c r="A207" s="19" t="s">
        <v>182</v>
      </c>
      <c r="B207" s="19" t="str">
        <f>Source!F94</f>
        <v>21.1-25-13</v>
      </c>
      <c r="C207" s="19" t="str">
        <f>Source!G94</f>
        <v>Вода</v>
      </c>
      <c r="D207" s="20" t="str">
        <f>Source!H94</f>
        <v>м3</v>
      </c>
      <c r="E207" s="8">
        <f>Source!I94</f>
        <v>-41.7408</v>
      </c>
      <c r="F207" s="22">
        <f>Source!AK94</f>
        <v>54.81</v>
      </c>
      <c r="G207" s="29" t="s">
        <v>355</v>
      </c>
      <c r="H207" s="8">
        <f>Source!AW94</f>
        <v>1</v>
      </c>
      <c r="I207" s="8">
        <f>IF(Source!BC94&lt;&gt; 0, Source!BC94, 1)</f>
        <v>1</v>
      </c>
      <c r="J207" s="22">
        <f>Source!O94</f>
        <v>-2287.81</v>
      </c>
      <c r="K207" s="22"/>
      <c r="Q207">
        <f>ROUND((Source!BZ94/100)*ROUND((Source!AF94*Source!AV94)*Source!I94, 2), 2)</f>
        <v>0</v>
      </c>
      <c r="R207">
        <f>Source!X94</f>
        <v>0</v>
      </c>
      <c r="S207">
        <f>ROUND((Source!CA94/100)*ROUND((Source!AF94*Source!AV94)*Source!I94, 2), 2)</f>
        <v>0</v>
      </c>
      <c r="T207">
        <f>Source!Y94</f>
        <v>0</v>
      </c>
      <c r="U207">
        <f>ROUND((175/100)*ROUND((Source!AE94*Source!AV94)*Source!I94, 2), 2)</f>
        <v>0</v>
      </c>
      <c r="V207">
        <f>ROUND((108/100)*ROUND(Source!CS94*Source!I94, 2), 2)</f>
        <v>0</v>
      </c>
    </row>
    <row r="208" spans="1:22" ht="14.5" x14ac:dyDescent="0.35">
      <c r="A208" s="19"/>
      <c r="B208" s="19"/>
      <c r="C208" s="19" t="s">
        <v>346</v>
      </c>
      <c r="D208" s="20" t="s">
        <v>344</v>
      </c>
      <c r="E208" s="8">
        <f>Source!AT93</f>
        <v>70</v>
      </c>
      <c r="F208" s="22"/>
      <c r="G208" s="21"/>
      <c r="H208" s="8"/>
      <c r="I208" s="8"/>
      <c r="J208" s="22">
        <f>SUM(R201:R207)</f>
        <v>20853.29</v>
      </c>
      <c r="K208" s="22"/>
    </row>
    <row r="209" spans="1:22" ht="14.5" x14ac:dyDescent="0.35">
      <c r="A209" s="19"/>
      <c r="B209" s="19"/>
      <c r="C209" s="19" t="s">
        <v>347</v>
      </c>
      <c r="D209" s="20" t="s">
        <v>344</v>
      </c>
      <c r="E209" s="8">
        <f>Source!AU93</f>
        <v>10</v>
      </c>
      <c r="F209" s="22"/>
      <c r="G209" s="21"/>
      <c r="H209" s="8"/>
      <c r="I209" s="8"/>
      <c r="J209" s="22">
        <f>SUM(T201:T208)</f>
        <v>2979.04</v>
      </c>
      <c r="K209" s="22"/>
    </row>
    <row r="210" spans="1:22" ht="14.5" x14ac:dyDescent="0.35">
      <c r="A210" s="19"/>
      <c r="B210" s="19"/>
      <c r="C210" s="19" t="s">
        <v>343</v>
      </c>
      <c r="D210" s="20" t="s">
        <v>344</v>
      </c>
      <c r="E210" s="8">
        <f>108</f>
        <v>108</v>
      </c>
      <c r="F210" s="22"/>
      <c r="G210" s="21"/>
      <c r="H210" s="8"/>
      <c r="I210" s="8"/>
      <c r="J210" s="22">
        <f>SUM(V201:V209)</f>
        <v>71788.31</v>
      </c>
      <c r="K210" s="22"/>
    </row>
    <row r="211" spans="1:22" ht="14.5" x14ac:dyDescent="0.35">
      <c r="A211" s="19"/>
      <c r="B211" s="19"/>
      <c r="C211" s="19" t="s">
        <v>348</v>
      </c>
      <c r="D211" s="20" t="s">
        <v>349</v>
      </c>
      <c r="E211" s="8">
        <f>Source!AQ93</f>
        <v>1.26</v>
      </c>
      <c r="F211" s="22"/>
      <c r="G211" s="21" t="str">
        <f>Source!DI93</f>
        <v>)*2</v>
      </c>
      <c r="H211" s="8">
        <f>Source!AV93</f>
        <v>1</v>
      </c>
      <c r="I211" s="8"/>
      <c r="J211" s="22"/>
      <c r="K211" s="22">
        <f>Source!U93</f>
        <v>65.741759999999999</v>
      </c>
    </row>
    <row r="212" spans="1:22" ht="14" x14ac:dyDescent="0.3">
      <c r="A212" s="27"/>
      <c r="B212" s="27"/>
      <c r="C212" s="27"/>
      <c r="D212" s="27"/>
      <c r="E212" s="27"/>
      <c r="F212" s="27"/>
      <c r="G212" s="27"/>
      <c r="H212" s="27"/>
      <c r="I212" s="45">
        <f>J203+J204+J206+J208+J209+J210+SUM(J207:J207)</f>
        <v>277091.49000000005</v>
      </c>
      <c r="J212" s="45"/>
      <c r="K212" s="28">
        <f>IF(Source!I93&lt;&gt;0, ROUND(I212/Source!I93, 2), 0)</f>
        <v>10621.42</v>
      </c>
      <c r="P212" s="25">
        <f>I212</f>
        <v>277091.49000000005</v>
      </c>
    </row>
    <row r="214" spans="1:22" ht="14" x14ac:dyDescent="0.3">
      <c r="A214" s="44" t="str">
        <f>CONCATENATE("Итого по подразделу: ",IF(Source!G96&lt;&gt;"Новый подраздел", Source!G96, ""))</f>
        <v xml:space="preserve">Итого по подразделу: Подраздел: ЛЕТНЯЯ УБОРКА </v>
      </c>
      <c r="B214" s="44"/>
      <c r="C214" s="44"/>
      <c r="D214" s="44"/>
      <c r="E214" s="44"/>
      <c r="F214" s="44"/>
      <c r="G214" s="44"/>
      <c r="H214" s="44"/>
      <c r="I214" s="42">
        <f>SUM(P149:P213)</f>
        <v>24220892.370000001</v>
      </c>
      <c r="J214" s="43"/>
      <c r="K214" s="30"/>
    </row>
    <row r="217" spans="1:22" ht="16.5" x14ac:dyDescent="0.35">
      <c r="A217" s="46" t="str">
        <f>CONCATENATE("Подраздел: ",IF(Source!G126&lt;&gt;"Новый подраздел", Source!G126, ""))</f>
        <v xml:space="preserve">Подраздел: Подраздел: УХОД ЗА ЗЕЛЕНЫМИ НАСАЖДЕНИЯМИ </v>
      </c>
      <c r="B217" s="46"/>
      <c r="C217" s="46"/>
      <c r="D217" s="46"/>
      <c r="E217" s="46"/>
      <c r="F217" s="46"/>
      <c r="G217" s="46"/>
      <c r="H217" s="46"/>
      <c r="I217" s="46"/>
      <c r="J217" s="46"/>
      <c r="K217" s="46"/>
    </row>
    <row r="218" spans="1:22" ht="28" x14ac:dyDescent="0.35">
      <c r="A218" s="19">
        <v>24</v>
      </c>
      <c r="B218" s="19" t="str">
        <f>Source!F130</f>
        <v>5.4-1201-3-2/1</v>
      </c>
      <c r="C218" s="19" t="str">
        <f>Source!G130</f>
        <v>Уборка газонов от опавших листьев и мусора пневмомашиной</v>
      </c>
      <c r="D218" s="20" t="str">
        <f>Source!H130</f>
        <v>100 м2</v>
      </c>
      <c r="E218" s="8">
        <f>Source!I130</f>
        <v>302.476</v>
      </c>
      <c r="F218" s="22"/>
      <c r="G218" s="21"/>
      <c r="H218" s="8"/>
      <c r="I218" s="8"/>
      <c r="J218" s="22"/>
      <c r="K218" s="22"/>
      <c r="Q218">
        <f>ROUND((Source!BZ130/100)*ROUND((Source!AF130*Source!AV130)*Source!I130, 2), 2)</f>
        <v>113213.74</v>
      </c>
      <c r="R218">
        <f>Source!X130</f>
        <v>113213.74</v>
      </c>
      <c r="S218">
        <f>ROUND((Source!CA130/100)*ROUND((Source!AF130*Source!AV130)*Source!I130, 2), 2)</f>
        <v>16173.39</v>
      </c>
      <c r="T218">
        <f>Source!Y130</f>
        <v>16173.39</v>
      </c>
      <c r="U218">
        <f>ROUND((175/100)*ROUND((Source!AE130*Source!AV130)*Source!I130, 2), 2)</f>
        <v>74.11</v>
      </c>
      <c r="V218">
        <f>ROUND((108/100)*ROUND(Source!CS130*Source!I130, 2), 2)</f>
        <v>45.74</v>
      </c>
    </row>
    <row r="219" spans="1:22" x14ac:dyDescent="0.25">
      <c r="C219" s="23" t="str">
        <f>"Объем: "&amp;Source!I130&amp;"=30247,6/"&amp;"100"</f>
        <v>Объем: 302,476=30247,6/100</v>
      </c>
    </row>
    <row r="220" spans="1:22" ht="14.5" x14ac:dyDescent="0.35">
      <c r="A220" s="19"/>
      <c r="B220" s="19"/>
      <c r="C220" s="19" t="s">
        <v>345</v>
      </c>
      <c r="D220" s="20"/>
      <c r="E220" s="8"/>
      <c r="F220" s="22">
        <f>Source!AO130</f>
        <v>267.35000000000002</v>
      </c>
      <c r="G220" s="21" t="str">
        <f>Source!DG130</f>
        <v>)*2</v>
      </c>
      <c r="H220" s="8">
        <f>Source!AV130</f>
        <v>1</v>
      </c>
      <c r="I220" s="8">
        <f>IF(Source!BA130&lt;&gt; 0, Source!BA130, 1)</f>
        <v>1</v>
      </c>
      <c r="J220" s="22">
        <f>Source!S130</f>
        <v>161733.92000000001</v>
      </c>
      <c r="K220" s="22"/>
    </row>
    <row r="221" spans="1:22" ht="14.5" x14ac:dyDescent="0.35">
      <c r="A221" s="19"/>
      <c r="B221" s="19"/>
      <c r="C221" s="19" t="s">
        <v>341</v>
      </c>
      <c r="D221" s="20"/>
      <c r="E221" s="8"/>
      <c r="F221" s="22">
        <f>Source!AM130</f>
        <v>7.04</v>
      </c>
      <c r="G221" s="21" t="str">
        <f>Source!DE130</f>
        <v>)*2</v>
      </c>
      <c r="H221" s="8">
        <f>Source!AV130</f>
        <v>1</v>
      </c>
      <c r="I221" s="8">
        <f>IF(Source!BB130&lt;&gt; 0, Source!BB130, 1)</f>
        <v>1</v>
      </c>
      <c r="J221" s="22">
        <f>Source!Q130</f>
        <v>4258.8599999999997</v>
      </c>
      <c r="K221" s="22"/>
    </row>
    <row r="222" spans="1:22" ht="14.5" x14ac:dyDescent="0.35">
      <c r="A222" s="19"/>
      <c r="B222" s="19"/>
      <c r="C222" s="19" t="s">
        <v>342</v>
      </c>
      <c r="D222" s="20"/>
      <c r="E222" s="8"/>
      <c r="F222" s="22">
        <f>Source!AN130</f>
        <v>7.0000000000000007E-2</v>
      </c>
      <c r="G222" s="21" t="str">
        <f>Source!DF130</f>
        <v>)*2</v>
      </c>
      <c r="H222" s="8">
        <f>Source!AV130</f>
        <v>1</v>
      </c>
      <c r="I222" s="8">
        <f>IF(Source!BS130&lt;&gt; 0, Source!BS130, 1)</f>
        <v>1</v>
      </c>
      <c r="J222" s="24">
        <f>Source!R130</f>
        <v>42.35</v>
      </c>
      <c r="K222" s="22"/>
    </row>
    <row r="223" spans="1:22" ht="14.5" x14ac:dyDescent="0.35">
      <c r="A223" s="19"/>
      <c r="B223" s="19"/>
      <c r="C223" s="19" t="s">
        <v>346</v>
      </c>
      <c r="D223" s="20" t="s">
        <v>344</v>
      </c>
      <c r="E223" s="8">
        <f>Source!AT130</f>
        <v>70</v>
      </c>
      <c r="F223" s="22"/>
      <c r="G223" s="21"/>
      <c r="H223" s="8"/>
      <c r="I223" s="8"/>
      <c r="J223" s="22">
        <f>SUM(R218:R222)</f>
        <v>113213.74</v>
      </c>
      <c r="K223" s="22"/>
    </row>
    <row r="224" spans="1:22" ht="14.5" x14ac:dyDescent="0.35">
      <c r="A224" s="19"/>
      <c r="B224" s="19"/>
      <c r="C224" s="19" t="s">
        <v>347</v>
      </c>
      <c r="D224" s="20" t="s">
        <v>344</v>
      </c>
      <c r="E224" s="8">
        <f>Source!AU130</f>
        <v>10</v>
      </c>
      <c r="F224" s="22"/>
      <c r="G224" s="21"/>
      <c r="H224" s="8"/>
      <c r="I224" s="8"/>
      <c r="J224" s="22">
        <f>SUM(T218:T223)</f>
        <v>16173.39</v>
      </c>
      <c r="K224" s="22"/>
    </row>
    <row r="225" spans="1:22" ht="14.5" x14ac:dyDescent="0.35">
      <c r="A225" s="19"/>
      <c r="B225" s="19"/>
      <c r="C225" s="19" t="s">
        <v>343</v>
      </c>
      <c r="D225" s="20" t="s">
        <v>344</v>
      </c>
      <c r="E225" s="8">
        <f>108</f>
        <v>108</v>
      </c>
      <c r="F225" s="22"/>
      <c r="G225" s="21"/>
      <c r="H225" s="8"/>
      <c r="I225" s="8"/>
      <c r="J225" s="22">
        <f>SUM(V218:V224)</f>
        <v>45.74</v>
      </c>
      <c r="K225" s="22"/>
    </row>
    <row r="226" spans="1:22" ht="14.5" x14ac:dyDescent="0.35">
      <c r="A226" s="19"/>
      <c r="B226" s="19"/>
      <c r="C226" s="19" t="s">
        <v>348</v>
      </c>
      <c r="D226" s="20" t="s">
        <v>349</v>
      </c>
      <c r="E226" s="8">
        <f>Source!AQ130</f>
        <v>0.59</v>
      </c>
      <c r="F226" s="22"/>
      <c r="G226" s="21" t="str">
        <f>Source!DI130</f>
        <v>)*2</v>
      </c>
      <c r="H226" s="8">
        <f>Source!AV130</f>
        <v>1</v>
      </c>
      <c r="I226" s="8"/>
      <c r="J226" s="22"/>
      <c r="K226" s="22">
        <f>Source!U130</f>
        <v>356.92167999999998</v>
      </c>
    </row>
    <row r="227" spans="1:22" ht="14" x14ac:dyDescent="0.3">
      <c r="A227" s="27"/>
      <c r="B227" s="27"/>
      <c r="C227" s="27"/>
      <c r="D227" s="27"/>
      <c r="E227" s="27"/>
      <c r="F227" s="27"/>
      <c r="G227" s="27"/>
      <c r="H227" s="27"/>
      <c r="I227" s="45">
        <f>J220+J221+J223+J224+J225</f>
        <v>295425.65000000002</v>
      </c>
      <c r="J227" s="45"/>
      <c r="K227" s="28">
        <f>IF(Source!I130&lt;&gt;0, ROUND(I227/Source!I130, 2), 0)</f>
        <v>976.69</v>
      </c>
      <c r="P227" s="25">
        <f>I227</f>
        <v>295425.65000000002</v>
      </c>
    </row>
    <row r="228" spans="1:22" ht="28" x14ac:dyDescent="0.35">
      <c r="A228" s="19">
        <v>25</v>
      </c>
      <c r="B228" s="19" t="str">
        <f>Source!F131</f>
        <v>5.4-1201-3-1/1</v>
      </c>
      <c r="C228" s="19" t="str">
        <f>Source!G131</f>
        <v>Уборка газонов от опавших листьев и мусора вручную</v>
      </c>
      <c r="D228" s="20" t="str">
        <f>Source!H131</f>
        <v>100 м2</v>
      </c>
      <c r="E228" s="8">
        <f>Source!I131</f>
        <v>151.238</v>
      </c>
      <c r="F228" s="22"/>
      <c r="G228" s="21"/>
      <c r="H228" s="8"/>
      <c r="I228" s="8"/>
      <c r="J228" s="22"/>
      <c r="K228" s="22"/>
      <c r="Q228">
        <f>ROUND((Source!BZ131/100)*ROUND((Source!AF131*Source!AV131)*Source!I131, 2), 2)</f>
        <v>153510.81</v>
      </c>
      <c r="R228">
        <f>Source!X131</f>
        <v>153510.81</v>
      </c>
      <c r="S228">
        <f>ROUND((Source!CA131/100)*ROUND((Source!AF131*Source!AV131)*Source!I131, 2), 2)</f>
        <v>21930.12</v>
      </c>
      <c r="T228">
        <f>Source!Y131</f>
        <v>21930.12</v>
      </c>
      <c r="U228">
        <f>ROUND((175/100)*ROUND((Source!AE131*Source!AV131)*Source!I131, 2), 2)</f>
        <v>0</v>
      </c>
      <c r="V228">
        <f>ROUND((108/100)*ROUND(Source!CS131*Source!I131, 2), 2)</f>
        <v>0</v>
      </c>
    </row>
    <row r="229" spans="1:22" x14ac:dyDescent="0.25">
      <c r="C229" s="23" t="str">
        <f>"Объем: "&amp;Source!I131&amp;"=15123,8/"&amp;"100"</f>
        <v>Объем: 151,238=15123,8/100</v>
      </c>
    </row>
    <row r="230" spans="1:22" ht="14.5" x14ac:dyDescent="0.35">
      <c r="A230" s="19"/>
      <c r="B230" s="19"/>
      <c r="C230" s="19" t="s">
        <v>345</v>
      </c>
      <c r="D230" s="20"/>
      <c r="E230" s="8"/>
      <c r="F230" s="22">
        <f>Source!AO131</f>
        <v>725.02</v>
      </c>
      <c r="G230" s="21" t="str">
        <f>Source!DG131</f>
        <v>)*2</v>
      </c>
      <c r="H230" s="8">
        <f>Source!AV131</f>
        <v>1</v>
      </c>
      <c r="I230" s="8">
        <f>IF(Source!BA131&lt;&gt; 0, Source!BA131, 1)</f>
        <v>1</v>
      </c>
      <c r="J230" s="22">
        <f>Source!S131</f>
        <v>219301.15</v>
      </c>
      <c r="K230" s="22"/>
    </row>
    <row r="231" spans="1:22" ht="14.5" x14ac:dyDescent="0.35">
      <c r="A231" s="19"/>
      <c r="B231" s="19"/>
      <c r="C231" s="19" t="s">
        <v>346</v>
      </c>
      <c r="D231" s="20" t="s">
        <v>344</v>
      </c>
      <c r="E231" s="8">
        <f>Source!AT131</f>
        <v>70</v>
      </c>
      <c r="F231" s="22"/>
      <c r="G231" s="21"/>
      <c r="H231" s="8"/>
      <c r="I231" s="8"/>
      <c r="J231" s="22">
        <f>SUM(R228:R230)</f>
        <v>153510.81</v>
      </c>
      <c r="K231" s="22"/>
    </row>
    <row r="232" spans="1:22" ht="14.5" x14ac:dyDescent="0.35">
      <c r="A232" s="19"/>
      <c r="B232" s="19"/>
      <c r="C232" s="19" t="s">
        <v>347</v>
      </c>
      <c r="D232" s="20" t="s">
        <v>344</v>
      </c>
      <c r="E232" s="8">
        <f>Source!AU131</f>
        <v>10</v>
      </c>
      <c r="F232" s="22"/>
      <c r="G232" s="21"/>
      <c r="H232" s="8"/>
      <c r="I232" s="8"/>
      <c r="J232" s="22">
        <f>SUM(T228:T231)</f>
        <v>21930.12</v>
      </c>
      <c r="K232" s="22"/>
    </row>
    <row r="233" spans="1:22" ht="14.5" x14ac:dyDescent="0.35">
      <c r="A233" s="19"/>
      <c r="B233" s="19"/>
      <c r="C233" s="19" t="s">
        <v>348</v>
      </c>
      <c r="D233" s="20" t="s">
        <v>349</v>
      </c>
      <c r="E233" s="8">
        <f>Source!AQ131</f>
        <v>1.6</v>
      </c>
      <c r="F233" s="22"/>
      <c r="G233" s="21" t="str">
        <f>Source!DI131</f>
        <v>)*2</v>
      </c>
      <c r="H233" s="8">
        <f>Source!AV131</f>
        <v>1</v>
      </c>
      <c r="I233" s="8"/>
      <c r="J233" s="22"/>
      <c r="K233" s="22">
        <f>Source!U131</f>
        <v>483.96160000000003</v>
      </c>
    </row>
    <row r="234" spans="1:22" ht="14" x14ac:dyDescent="0.3">
      <c r="A234" s="27"/>
      <c r="B234" s="27"/>
      <c r="C234" s="27"/>
      <c r="D234" s="27"/>
      <c r="E234" s="27"/>
      <c r="F234" s="27"/>
      <c r="G234" s="27"/>
      <c r="H234" s="27"/>
      <c r="I234" s="45">
        <f>J230+J231+J232</f>
        <v>394742.07999999996</v>
      </c>
      <c r="J234" s="45"/>
      <c r="K234" s="28">
        <f>IF(Source!I131&lt;&gt;0, ROUND(I234/Source!I131, 2), 0)</f>
        <v>2610.0700000000002</v>
      </c>
      <c r="P234" s="25">
        <f>I234</f>
        <v>394742.07999999996</v>
      </c>
    </row>
    <row r="235" spans="1:22" ht="28" x14ac:dyDescent="0.35">
      <c r="A235" s="19">
        <v>26</v>
      </c>
      <c r="B235" s="19" t="str">
        <f>Source!F132</f>
        <v>5.4-1201-3-3/1</v>
      </c>
      <c r="C235" s="19" t="str">
        <f>Source!G132</f>
        <v>Уборка опавшей листвы в мешки с погрузкой</v>
      </c>
      <c r="D235" s="20" t="str">
        <f>Source!H132</f>
        <v>м3</v>
      </c>
      <c r="E235" s="8">
        <f>Source!I132</f>
        <v>226.857</v>
      </c>
      <c r="F235" s="22"/>
      <c r="G235" s="21"/>
      <c r="H235" s="8"/>
      <c r="I235" s="8"/>
      <c r="J235" s="22"/>
      <c r="K235" s="22"/>
      <c r="Q235">
        <f>ROUND((Source!BZ132/100)*ROUND((Source!AF132*Source!AV132)*Source!I132, 2), 2)</f>
        <v>77268.86</v>
      </c>
      <c r="R235">
        <f>Source!X132</f>
        <v>77268.86</v>
      </c>
      <c r="S235">
        <f>ROUND((Source!CA132/100)*ROUND((Source!AF132*Source!AV132)*Source!I132, 2), 2)</f>
        <v>11038.41</v>
      </c>
      <c r="T235">
        <f>Source!Y132</f>
        <v>11038.41</v>
      </c>
      <c r="U235">
        <f>ROUND((175/100)*ROUND((Source!AE132*Source!AV132)*Source!I132, 2), 2)</f>
        <v>119004.64</v>
      </c>
      <c r="V235">
        <f>ROUND((108/100)*ROUND(Source!CS132*Source!I132, 2), 2)</f>
        <v>73442.86</v>
      </c>
    </row>
    <row r="236" spans="1:22" ht="14.5" x14ac:dyDescent="0.35">
      <c r="A236" s="19"/>
      <c r="B236" s="19"/>
      <c r="C236" s="19" t="s">
        <v>345</v>
      </c>
      <c r="D236" s="20"/>
      <c r="E236" s="8"/>
      <c r="F236" s="22">
        <f>Source!AO132</f>
        <v>243.29</v>
      </c>
      <c r="G236" s="21" t="str">
        <f>Source!DG132</f>
        <v>)*2</v>
      </c>
      <c r="H236" s="8">
        <f>Source!AV132</f>
        <v>1</v>
      </c>
      <c r="I236" s="8">
        <f>IF(Source!BA132&lt;&gt; 0, Source!BA132, 1)</f>
        <v>1</v>
      </c>
      <c r="J236" s="22">
        <f>Source!S132</f>
        <v>110384.08</v>
      </c>
      <c r="K236" s="22"/>
    </row>
    <row r="237" spans="1:22" ht="14.5" x14ac:dyDescent="0.35">
      <c r="A237" s="19"/>
      <c r="B237" s="19"/>
      <c r="C237" s="19" t="s">
        <v>341</v>
      </c>
      <c r="D237" s="20"/>
      <c r="E237" s="8"/>
      <c r="F237" s="22">
        <f>Source!AM132</f>
        <v>346.67</v>
      </c>
      <c r="G237" s="21" t="str">
        <f>Source!DE132</f>
        <v>)*2</v>
      </c>
      <c r="H237" s="8">
        <f>Source!AV132</f>
        <v>1</v>
      </c>
      <c r="I237" s="8">
        <f>IF(Source!BB132&lt;&gt; 0, Source!BB132, 1)</f>
        <v>1</v>
      </c>
      <c r="J237" s="22">
        <f>Source!Q132</f>
        <v>157289.03</v>
      </c>
      <c r="K237" s="22"/>
    </row>
    <row r="238" spans="1:22" ht="14.5" x14ac:dyDescent="0.35">
      <c r="A238" s="19"/>
      <c r="B238" s="19"/>
      <c r="C238" s="19" t="s">
        <v>342</v>
      </c>
      <c r="D238" s="20"/>
      <c r="E238" s="8"/>
      <c r="F238" s="22">
        <f>Source!AN132</f>
        <v>149.88</v>
      </c>
      <c r="G238" s="21" t="str">
        <f>Source!DF132</f>
        <v>)*2</v>
      </c>
      <c r="H238" s="8">
        <f>Source!AV132</f>
        <v>1</v>
      </c>
      <c r="I238" s="8">
        <f>IF(Source!BS132&lt;&gt; 0, Source!BS132, 1)</f>
        <v>1</v>
      </c>
      <c r="J238" s="24">
        <f>Source!R132</f>
        <v>68002.649999999994</v>
      </c>
      <c r="K238" s="22"/>
    </row>
    <row r="239" spans="1:22" ht="14.5" x14ac:dyDescent="0.35">
      <c r="A239" s="19"/>
      <c r="B239" s="19"/>
      <c r="C239" s="19" t="s">
        <v>350</v>
      </c>
      <c r="D239" s="20"/>
      <c r="E239" s="8"/>
      <c r="F239" s="22">
        <f>Source!AL132</f>
        <v>72.8</v>
      </c>
      <c r="G239" s="21" t="str">
        <f>Source!DD132</f>
        <v>)*2</v>
      </c>
      <c r="H239" s="8">
        <f>Source!AW132</f>
        <v>1</v>
      </c>
      <c r="I239" s="8">
        <f>IF(Source!BC132&lt;&gt; 0, Source!BC132, 1)</f>
        <v>1</v>
      </c>
      <c r="J239" s="22">
        <f>Source!P132</f>
        <v>33030.379999999997</v>
      </c>
      <c r="K239" s="22"/>
    </row>
    <row r="240" spans="1:22" ht="14.5" x14ac:dyDescent="0.35">
      <c r="A240" s="19"/>
      <c r="B240" s="19"/>
      <c r="C240" s="19" t="s">
        <v>346</v>
      </c>
      <c r="D240" s="20" t="s">
        <v>344</v>
      </c>
      <c r="E240" s="8">
        <f>Source!AT132</f>
        <v>70</v>
      </c>
      <c r="F240" s="22"/>
      <c r="G240" s="21"/>
      <c r="H240" s="8"/>
      <c r="I240" s="8"/>
      <c r="J240" s="22">
        <f>SUM(R235:R239)</f>
        <v>77268.86</v>
      </c>
      <c r="K240" s="22"/>
    </row>
    <row r="241" spans="1:22" ht="14.5" x14ac:dyDescent="0.35">
      <c r="A241" s="19"/>
      <c r="B241" s="19"/>
      <c r="C241" s="19" t="s">
        <v>347</v>
      </c>
      <c r="D241" s="20" t="s">
        <v>344</v>
      </c>
      <c r="E241" s="8">
        <f>Source!AU132</f>
        <v>10</v>
      </c>
      <c r="F241" s="22"/>
      <c r="G241" s="21"/>
      <c r="H241" s="8"/>
      <c r="I241" s="8"/>
      <c r="J241" s="22">
        <f>SUM(T235:T240)</f>
        <v>11038.41</v>
      </c>
      <c r="K241" s="22"/>
    </row>
    <row r="242" spans="1:22" ht="14.5" x14ac:dyDescent="0.35">
      <c r="A242" s="19"/>
      <c r="B242" s="19"/>
      <c r="C242" s="19" t="s">
        <v>343</v>
      </c>
      <c r="D242" s="20" t="s">
        <v>344</v>
      </c>
      <c r="E242" s="8">
        <f>108</f>
        <v>108</v>
      </c>
      <c r="F242" s="22"/>
      <c r="G242" s="21"/>
      <c r="H242" s="8"/>
      <c r="I242" s="8"/>
      <c r="J242" s="22">
        <f>SUM(V235:V241)</f>
        <v>73442.86</v>
      </c>
      <c r="K242" s="22"/>
    </row>
    <row r="243" spans="1:22" ht="14.5" x14ac:dyDescent="0.35">
      <c r="A243" s="19"/>
      <c r="B243" s="19"/>
      <c r="C243" s="19" t="s">
        <v>348</v>
      </c>
      <c r="D243" s="20" t="s">
        <v>349</v>
      </c>
      <c r="E243" s="8">
        <f>Source!AQ132</f>
        <v>0.48</v>
      </c>
      <c r="F243" s="22"/>
      <c r="G243" s="21" t="str">
        <f>Source!DI132</f>
        <v>)*2</v>
      </c>
      <c r="H243" s="8">
        <f>Source!AV132</f>
        <v>1</v>
      </c>
      <c r="I243" s="8"/>
      <c r="J243" s="22"/>
      <c r="K243" s="22">
        <f>Source!U132</f>
        <v>217.78271999999998</v>
      </c>
    </row>
    <row r="244" spans="1:22" ht="14" x14ac:dyDescent="0.3">
      <c r="A244" s="27"/>
      <c r="B244" s="27"/>
      <c r="C244" s="27"/>
      <c r="D244" s="27"/>
      <c r="E244" s="27"/>
      <c r="F244" s="27"/>
      <c r="G244" s="27"/>
      <c r="H244" s="27"/>
      <c r="I244" s="45">
        <f>J236+J237+J239+J240+J241+J242</f>
        <v>462453.61999999994</v>
      </c>
      <c r="J244" s="45"/>
      <c r="K244" s="28">
        <f>IF(Source!I132&lt;&gt;0, ROUND(I244/Source!I132, 2), 0)</f>
        <v>2038.52</v>
      </c>
      <c r="P244" s="25">
        <f>I244</f>
        <v>462453.61999999994</v>
      </c>
    </row>
    <row r="245" spans="1:22" ht="28" x14ac:dyDescent="0.35">
      <c r="A245" s="19">
        <v>27</v>
      </c>
      <c r="B245" s="19" t="str">
        <f>Source!F133</f>
        <v>5.4-1201-1-1/1</v>
      </c>
      <c r="C245" s="19" t="str">
        <f>Source!G133</f>
        <v>Сбор случайного мусора по территории</v>
      </c>
      <c r="D245" s="20" t="str">
        <f>Source!H133</f>
        <v>100 м2</v>
      </c>
      <c r="E245" s="8">
        <f>Source!I133</f>
        <v>360.822</v>
      </c>
      <c r="F245" s="22"/>
      <c r="G245" s="21"/>
      <c r="H245" s="8"/>
      <c r="I245" s="8"/>
      <c r="J245" s="22"/>
      <c r="K245" s="22"/>
      <c r="Q245">
        <f>ROUND((Source!BZ133/100)*ROUND((Source!AF133*Source!AV133)*Source!I133, 2), 2)</f>
        <v>1138948.3600000001</v>
      </c>
      <c r="R245">
        <f>Source!X133</f>
        <v>1138948.3600000001</v>
      </c>
      <c r="S245">
        <f>ROUND((Source!CA133/100)*ROUND((Source!AF133*Source!AV133)*Source!I133, 2), 2)</f>
        <v>162706.91</v>
      </c>
      <c r="T245">
        <f>Source!Y133</f>
        <v>162706.91</v>
      </c>
      <c r="U245">
        <f>ROUND((175/100)*ROUND((Source!AE133*Source!AV133)*Source!I133, 2), 2)</f>
        <v>0</v>
      </c>
      <c r="V245">
        <f>ROUND((108/100)*ROUND(Source!CS133*Source!I133, 2), 2)</f>
        <v>0</v>
      </c>
    </row>
    <row r="246" spans="1:22" x14ac:dyDescent="0.25">
      <c r="C246" s="23" t="str">
        <f>"Объем: "&amp;Source!I133&amp;"=36082,2/"&amp;"100"</f>
        <v>Объем: 360,822=36082,2/100</v>
      </c>
    </row>
    <row r="247" spans="1:22" ht="14.5" x14ac:dyDescent="0.35">
      <c r="A247" s="19"/>
      <c r="B247" s="19"/>
      <c r="C247" s="19" t="s">
        <v>345</v>
      </c>
      <c r="D247" s="20"/>
      <c r="E247" s="8"/>
      <c r="F247" s="22">
        <f>Source!AO133</f>
        <v>22.66</v>
      </c>
      <c r="G247" s="21" t="str">
        <f>Source!DG133</f>
        <v>)*199</v>
      </c>
      <c r="H247" s="8">
        <f>Source!AV133</f>
        <v>1</v>
      </c>
      <c r="I247" s="8">
        <f>IF(Source!BA133&lt;&gt; 0, Source!BA133, 1)</f>
        <v>1</v>
      </c>
      <c r="J247" s="22">
        <f>Source!S133</f>
        <v>1627069.08</v>
      </c>
      <c r="K247" s="22"/>
    </row>
    <row r="248" spans="1:22" ht="14.5" x14ac:dyDescent="0.35">
      <c r="A248" s="19"/>
      <c r="B248" s="19"/>
      <c r="C248" s="19" t="s">
        <v>350</v>
      </c>
      <c r="D248" s="20"/>
      <c r="E248" s="8"/>
      <c r="F248" s="22">
        <f>Source!AL133</f>
        <v>0.91</v>
      </c>
      <c r="G248" s="21" t="str">
        <f>Source!DD133</f>
        <v>)*199</v>
      </c>
      <c r="H248" s="8">
        <f>Source!AW133</f>
        <v>1</v>
      </c>
      <c r="I248" s="8">
        <f>IF(Source!BC133&lt;&gt; 0, Source!BC133, 1)</f>
        <v>1</v>
      </c>
      <c r="J248" s="22">
        <f>Source!P133</f>
        <v>65341.26</v>
      </c>
      <c r="K248" s="22"/>
    </row>
    <row r="249" spans="1:22" ht="14.5" x14ac:dyDescent="0.35">
      <c r="A249" s="19"/>
      <c r="B249" s="19"/>
      <c r="C249" s="19" t="s">
        <v>346</v>
      </c>
      <c r="D249" s="20" t="s">
        <v>344</v>
      </c>
      <c r="E249" s="8">
        <f>Source!AT133</f>
        <v>70</v>
      </c>
      <c r="F249" s="22"/>
      <c r="G249" s="21"/>
      <c r="H249" s="8"/>
      <c r="I249" s="8"/>
      <c r="J249" s="22">
        <f>SUM(R245:R248)</f>
        <v>1138948.3600000001</v>
      </c>
      <c r="K249" s="22"/>
    </row>
    <row r="250" spans="1:22" ht="14.5" x14ac:dyDescent="0.35">
      <c r="A250" s="19"/>
      <c r="B250" s="19"/>
      <c r="C250" s="19" t="s">
        <v>347</v>
      </c>
      <c r="D250" s="20" t="s">
        <v>344</v>
      </c>
      <c r="E250" s="8">
        <f>Source!AU133</f>
        <v>10</v>
      </c>
      <c r="F250" s="22"/>
      <c r="G250" s="21"/>
      <c r="H250" s="8"/>
      <c r="I250" s="8"/>
      <c r="J250" s="22">
        <f>SUM(T245:T249)</f>
        <v>162706.91</v>
      </c>
      <c r="K250" s="22"/>
    </row>
    <row r="251" spans="1:22" ht="14.5" x14ac:dyDescent="0.35">
      <c r="A251" s="19"/>
      <c r="B251" s="19"/>
      <c r="C251" s="19" t="s">
        <v>348</v>
      </c>
      <c r="D251" s="20" t="s">
        <v>349</v>
      </c>
      <c r="E251" s="8">
        <f>Source!AQ133</f>
        <v>0.05</v>
      </c>
      <c r="F251" s="22"/>
      <c r="G251" s="21" t="str">
        <f>Source!DI133</f>
        <v>)*199</v>
      </c>
      <c r="H251" s="8">
        <f>Source!AV133</f>
        <v>1</v>
      </c>
      <c r="I251" s="8"/>
      <c r="J251" s="22"/>
      <c r="K251" s="22">
        <f>Source!U133</f>
        <v>3590.1789000000003</v>
      </c>
    </row>
    <row r="252" spans="1:22" ht="14" x14ac:dyDescent="0.3">
      <c r="A252" s="27"/>
      <c r="B252" s="27"/>
      <c r="C252" s="27"/>
      <c r="D252" s="27"/>
      <c r="E252" s="27"/>
      <c r="F252" s="27"/>
      <c r="G252" s="27"/>
      <c r="H252" s="27"/>
      <c r="I252" s="45">
        <f>J247+J248+J249+J250</f>
        <v>2994065.6100000003</v>
      </c>
      <c r="J252" s="45"/>
      <c r="K252" s="28">
        <f>IF(Source!I133&lt;&gt;0, ROUND(I252/Source!I133, 2), 0)</f>
        <v>8297.9</v>
      </c>
      <c r="P252" s="25">
        <f>I252</f>
        <v>2994065.6100000003</v>
      </c>
    </row>
    <row r="253" spans="1:22" ht="28" x14ac:dyDescent="0.35">
      <c r="A253" s="19">
        <v>28</v>
      </c>
      <c r="B253" s="19" t="str">
        <f>Source!F134</f>
        <v>5.4-3201-7-2/1</v>
      </c>
      <c r="C253" s="19" t="str">
        <f>Source!G134</f>
        <v>Выкашивание газонов газонокосилкой</v>
      </c>
      <c r="D253" s="20" t="str">
        <f>Source!H134</f>
        <v>100 м2</v>
      </c>
      <c r="E253" s="8">
        <f>Source!I134</f>
        <v>1512.38</v>
      </c>
      <c r="F253" s="22"/>
      <c r="G253" s="21"/>
      <c r="H253" s="8"/>
      <c r="I253" s="8"/>
      <c r="J253" s="22"/>
      <c r="K253" s="22"/>
      <c r="Q253">
        <f>ROUND((Source!BZ134/100)*ROUND((Source!AF134*Source!AV134)*Source!I134, 2), 2)</f>
        <v>6659813.7300000004</v>
      </c>
      <c r="R253">
        <f>Source!X134</f>
        <v>6659813.7300000004</v>
      </c>
      <c r="S253">
        <f>ROUND((Source!CA134/100)*ROUND((Source!AF134*Source!AV134)*Source!I134, 2), 2)</f>
        <v>951401.96</v>
      </c>
      <c r="T253">
        <f>Source!Y134</f>
        <v>951401.96</v>
      </c>
      <c r="U253">
        <f>ROUND((175/100)*ROUND((Source!AE134*Source!AV134)*Source!I134, 2), 2)</f>
        <v>91151.15</v>
      </c>
      <c r="V253">
        <f>ROUND((108/100)*ROUND(Source!CS134*Source!I134, 2), 2)</f>
        <v>56253.279999999999</v>
      </c>
    </row>
    <row r="254" spans="1:22" x14ac:dyDescent="0.25">
      <c r="C254" s="23" t="str">
        <f>"Объем: "&amp;Source!I134&amp;"=151238/"&amp;"100"</f>
        <v>Объем: 1512,38=151238/100</v>
      </c>
    </row>
    <row r="255" spans="1:22" ht="14.5" x14ac:dyDescent="0.35">
      <c r="A255" s="19"/>
      <c r="B255" s="19"/>
      <c r="C255" s="19" t="s">
        <v>345</v>
      </c>
      <c r="D255" s="20"/>
      <c r="E255" s="8"/>
      <c r="F255" s="22">
        <f>Source!AO134</f>
        <v>449.34</v>
      </c>
      <c r="G255" s="21" t="str">
        <f>Source!DG134</f>
        <v>)*14</v>
      </c>
      <c r="H255" s="8">
        <f>Source!AV134</f>
        <v>1</v>
      </c>
      <c r="I255" s="8">
        <f>IF(Source!BA134&lt;&gt; 0, Source!BA134, 1)</f>
        <v>1</v>
      </c>
      <c r="J255" s="22">
        <f>Source!S134</f>
        <v>9514019.6099999994</v>
      </c>
      <c r="K255" s="22"/>
    </row>
    <row r="256" spans="1:22" ht="14.5" x14ac:dyDescent="0.35">
      <c r="A256" s="19"/>
      <c r="B256" s="19"/>
      <c r="C256" s="19" t="s">
        <v>341</v>
      </c>
      <c r="D256" s="20"/>
      <c r="E256" s="8"/>
      <c r="F256" s="22">
        <f>Source!AM134</f>
        <v>24.44</v>
      </c>
      <c r="G256" s="21" t="str">
        <f>Source!DE134</f>
        <v>)*14</v>
      </c>
      <c r="H256" s="8">
        <f>Source!AV134</f>
        <v>1</v>
      </c>
      <c r="I256" s="8">
        <f>IF(Source!BB134&lt;&gt; 0, Source!BB134, 1)</f>
        <v>1</v>
      </c>
      <c r="J256" s="22">
        <f>Source!Q134</f>
        <v>517475.94</v>
      </c>
      <c r="K256" s="22"/>
    </row>
    <row r="257" spans="1:22" ht="14.5" x14ac:dyDescent="0.35">
      <c r="A257" s="19"/>
      <c r="B257" s="19"/>
      <c r="C257" s="19" t="s">
        <v>342</v>
      </c>
      <c r="D257" s="20"/>
      <c r="E257" s="8"/>
      <c r="F257" s="22">
        <f>Source!AN134</f>
        <v>2.46</v>
      </c>
      <c r="G257" s="21" t="str">
        <f>Source!DF134</f>
        <v>)*14</v>
      </c>
      <c r="H257" s="8">
        <f>Source!AV134</f>
        <v>1</v>
      </c>
      <c r="I257" s="8">
        <f>IF(Source!BS134&lt;&gt; 0, Source!BS134, 1)</f>
        <v>1</v>
      </c>
      <c r="J257" s="24">
        <f>Source!R134</f>
        <v>52086.37</v>
      </c>
      <c r="K257" s="22"/>
    </row>
    <row r="258" spans="1:22" ht="14.5" x14ac:dyDescent="0.35">
      <c r="A258" s="19"/>
      <c r="B258" s="19"/>
      <c r="C258" s="19" t="s">
        <v>346</v>
      </c>
      <c r="D258" s="20" t="s">
        <v>344</v>
      </c>
      <c r="E258" s="8">
        <f>Source!AT134</f>
        <v>70</v>
      </c>
      <c r="F258" s="22"/>
      <c r="G258" s="21"/>
      <c r="H258" s="8"/>
      <c r="I258" s="8"/>
      <c r="J258" s="22">
        <f>SUM(R253:R257)</f>
        <v>6659813.7300000004</v>
      </c>
      <c r="K258" s="22"/>
    </row>
    <row r="259" spans="1:22" ht="14.5" x14ac:dyDescent="0.35">
      <c r="A259" s="19"/>
      <c r="B259" s="19"/>
      <c r="C259" s="19" t="s">
        <v>347</v>
      </c>
      <c r="D259" s="20" t="s">
        <v>344</v>
      </c>
      <c r="E259" s="8">
        <f>Source!AU134</f>
        <v>10</v>
      </c>
      <c r="F259" s="22"/>
      <c r="G259" s="21"/>
      <c r="H259" s="8"/>
      <c r="I259" s="8"/>
      <c r="J259" s="22">
        <f>SUM(T253:T258)</f>
        <v>951401.96</v>
      </c>
      <c r="K259" s="22"/>
    </row>
    <row r="260" spans="1:22" ht="14.5" x14ac:dyDescent="0.35">
      <c r="A260" s="19"/>
      <c r="B260" s="19"/>
      <c r="C260" s="19" t="s">
        <v>343</v>
      </c>
      <c r="D260" s="20" t="s">
        <v>344</v>
      </c>
      <c r="E260" s="8">
        <f>108</f>
        <v>108</v>
      </c>
      <c r="F260" s="22"/>
      <c r="G260" s="21"/>
      <c r="H260" s="8"/>
      <c r="I260" s="8"/>
      <c r="J260" s="22">
        <f>SUM(V253:V259)</f>
        <v>56253.279999999999</v>
      </c>
      <c r="K260" s="22"/>
    </row>
    <row r="261" spans="1:22" ht="14.5" x14ac:dyDescent="0.35">
      <c r="A261" s="19"/>
      <c r="B261" s="19"/>
      <c r="C261" s="19" t="s">
        <v>348</v>
      </c>
      <c r="D261" s="20" t="s">
        <v>349</v>
      </c>
      <c r="E261" s="8">
        <f>Source!AQ134</f>
        <v>0.98</v>
      </c>
      <c r="F261" s="22"/>
      <c r="G261" s="21" t="str">
        <f>Source!DI134</f>
        <v>)*14</v>
      </c>
      <c r="H261" s="8">
        <f>Source!AV134</f>
        <v>1</v>
      </c>
      <c r="I261" s="8"/>
      <c r="J261" s="22"/>
      <c r="K261" s="22">
        <f>Source!U134</f>
        <v>20749.853599999999</v>
      </c>
    </row>
    <row r="262" spans="1:22" ht="14" x14ac:dyDescent="0.3">
      <c r="A262" s="27"/>
      <c r="B262" s="27"/>
      <c r="C262" s="27"/>
      <c r="D262" s="27"/>
      <c r="E262" s="27"/>
      <c r="F262" s="27"/>
      <c r="G262" s="27"/>
      <c r="H262" s="27"/>
      <c r="I262" s="45">
        <f>J255+J256+J258+J259+J260</f>
        <v>17698964.52</v>
      </c>
      <c r="J262" s="45"/>
      <c r="K262" s="28">
        <f>IF(Source!I134&lt;&gt;0, ROUND(I262/Source!I134, 2), 0)</f>
        <v>11702.72</v>
      </c>
      <c r="P262" s="25">
        <f>I262</f>
        <v>17698964.52</v>
      </c>
    </row>
    <row r="263" spans="1:22" ht="28" x14ac:dyDescent="0.35">
      <c r="A263" s="19">
        <v>29</v>
      </c>
      <c r="B263" s="19" t="str">
        <f>Source!F135</f>
        <v>5.4-3405-7-1/1</v>
      </c>
      <c r="C263" s="19" t="str">
        <f>Source!G135</f>
        <v>Полив зеленых насаждений из шланга поливомоечной машины</v>
      </c>
      <c r="D263" s="20" t="str">
        <f>Source!H135</f>
        <v>м3</v>
      </c>
      <c r="E263" s="8">
        <f>Source!I135</f>
        <v>567.99</v>
      </c>
      <c r="F263" s="22"/>
      <c r="G263" s="21"/>
      <c r="H263" s="8"/>
      <c r="I263" s="8"/>
      <c r="J263" s="22"/>
      <c r="K263" s="22"/>
      <c r="Q263">
        <f>ROUND((Source!BZ135/100)*ROUND((Source!AF135*Source!AV135)*Source!I135, 2), 2)</f>
        <v>1015237.83</v>
      </c>
      <c r="R263">
        <f>Source!X135</f>
        <v>1015237.83</v>
      </c>
      <c r="S263">
        <f>ROUND((Source!CA135/100)*ROUND((Source!AF135*Source!AV135)*Source!I135, 2), 2)</f>
        <v>145033.98000000001</v>
      </c>
      <c r="T263">
        <f>Source!Y135</f>
        <v>145033.98000000001</v>
      </c>
      <c r="U263">
        <f>ROUND((175/100)*ROUND((Source!AE135*Source!AV135)*Source!I135, 2), 2)</f>
        <v>4320285.3099999996</v>
      </c>
      <c r="V263">
        <f>ROUND((108/100)*ROUND(Source!CS135*Source!I135, 2), 2)</f>
        <v>2666233.2200000002</v>
      </c>
    </row>
    <row r="264" spans="1:22" ht="14.5" x14ac:dyDescent="0.35">
      <c r="A264" s="19"/>
      <c r="B264" s="19"/>
      <c r="C264" s="19" t="s">
        <v>345</v>
      </c>
      <c r="D264" s="20"/>
      <c r="E264" s="8"/>
      <c r="F264" s="22">
        <f>Source!AO135</f>
        <v>182.39</v>
      </c>
      <c r="G264" s="21" t="str">
        <f>Source!DG135</f>
        <v>)*14</v>
      </c>
      <c r="H264" s="8">
        <f>Source!AV135</f>
        <v>1</v>
      </c>
      <c r="I264" s="8">
        <f>IF(Source!BA135&lt;&gt; 0, Source!BA135, 1)</f>
        <v>1</v>
      </c>
      <c r="J264" s="22">
        <f>Source!S135</f>
        <v>1450339.75</v>
      </c>
      <c r="K264" s="22"/>
    </row>
    <row r="265" spans="1:22" ht="14.5" x14ac:dyDescent="0.35">
      <c r="A265" s="19"/>
      <c r="B265" s="19"/>
      <c r="C265" s="19" t="s">
        <v>341</v>
      </c>
      <c r="D265" s="20"/>
      <c r="E265" s="8"/>
      <c r="F265" s="22">
        <f>Source!AM135</f>
        <v>899.27</v>
      </c>
      <c r="G265" s="21" t="str">
        <f>Source!DE135</f>
        <v>)*14</v>
      </c>
      <c r="H265" s="8">
        <f>Source!AV135</f>
        <v>1</v>
      </c>
      <c r="I265" s="8">
        <f>IF(Source!BB135&lt;&gt; 0, Source!BB135, 1)</f>
        <v>1</v>
      </c>
      <c r="J265" s="22">
        <f>Source!Q135</f>
        <v>7150869.1399999997</v>
      </c>
      <c r="K265" s="22"/>
    </row>
    <row r="266" spans="1:22" ht="14.5" x14ac:dyDescent="0.35">
      <c r="A266" s="19"/>
      <c r="B266" s="19"/>
      <c r="C266" s="19" t="s">
        <v>342</v>
      </c>
      <c r="D266" s="20"/>
      <c r="E266" s="8"/>
      <c r="F266" s="22">
        <f>Source!AN135</f>
        <v>310.45999999999998</v>
      </c>
      <c r="G266" s="21" t="str">
        <f>Source!DF135</f>
        <v>)*14</v>
      </c>
      <c r="H266" s="8">
        <f>Source!AV135</f>
        <v>1</v>
      </c>
      <c r="I266" s="8">
        <f>IF(Source!BS135&lt;&gt; 0, Source!BS135, 1)</f>
        <v>1</v>
      </c>
      <c r="J266" s="24">
        <f>Source!R135</f>
        <v>2468734.46</v>
      </c>
      <c r="K266" s="22"/>
    </row>
    <row r="267" spans="1:22" ht="14.5" x14ac:dyDescent="0.35">
      <c r="A267" s="19"/>
      <c r="B267" s="19"/>
      <c r="C267" s="19" t="s">
        <v>350</v>
      </c>
      <c r="D267" s="20"/>
      <c r="E267" s="8"/>
      <c r="F267" s="22">
        <f>Source!AL135</f>
        <v>54.81</v>
      </c>
      <c r="G267" s="21" t="str">
        <f>Source!DD135</f>
        <v>)*14</v>
      </c>
      <c r="H267" s="8">
        <f>Source!AW135</f>
        <v>1</v>
      </c>
      <c r="I267" s="8">
        <f>IF(Source!BC135&lt;&gt; 0, Source!BC135, 1)</f>
        <v>1</v>
      </c>
      <c r="J267" s="22">
        <f>Source!P135</f>
        <v>435841.45</v>
      </c>
      <c r="K267" s="22"/>
    </row>
    <row r="268" spans="1:22" ht="14.5" x14ac:dyDescent="0.35">
      <c r="A268" s="19" t="s">
        <v>207</v>
      </c>
      <c r="B268" s="19" t="str">
        <f>Source!F136</f>
        <v>21.1-25-13</v>
      </c>
      <c r="C268" s="19" t="str">
        <f>Source!G136</f>
        <v>Вода</v>
      </c>
      <c r="D268" s="20" t="str">
        <f>Source!H136</f>
        <v>м3</v>
      </c>
      <c r="E268" s="8">
        <f>Source!I136</f>
        <v>-7951.8600000000006</v>
      </c>
      <c r="F268" s="22">
        <f>Source!AK136</f>
        <v>54.81</v>
      </c>
      <c r="G268" s="29" t="s">
        <v>353</v>
      </c>
      <c r="H268" s="8">
        <f>Source!AW136</f>
        <v>1</v>
      </c>
      <c r="I268" s="8">
        <f>IF(Source!BC136&lt;&gt; 0, Source!BC136, 1)</f>
        <v>1</v>
      </c>
      <c r="J268" s="22">
        <f>Source!O136</f>
        <v>-435841.45</v>
      </c>
      <c r="K268" s="22"/>
      <c r="Q268">
        <f>ROUND((Source!BZ136/100)*ROUND((Source!AF136*Source!AV136)*Source!I136, 2), 2)</f>
        <v>0</v>
      </c>
      <c r="R268">
        <f>Source!X136</f>
        <v>0</v>
      </c>
      <c r="S268">
        <f>ROUND((Source!CA136/100)*ROUND((Source!AF136*Source!AV136)*Source!I136, 2), 2)</f>
        <v>0</v>
      </c>
      <c r="T268">
        <f>Source!Y136</f>
        <v>0</v>
      </c>
      <c r="U268">
        <f>ROUND((175/100)*ROUND((Source!AE136*Source!AV136)*Source!I136, 2), 2)</f>
        <v>0</v>
      </c>
      <c r="V268">
        <f>ROUND((108/100)*ROUND(Source!CS136*Source!I136, 2), 2)</f>
        <v>0</v>
      </c>
    </row>
    <row r="269" spans="1:22" ht="14.5" x14ac:dyDescent="0.35">
      <c r="A269" s="19"/>
      <c r="B269" s="19"/>
      <c r="C269" s="19" t="s">
        <v>346</v>
      </c>
      <c r="D269" s="20" t="s">
        <v>344</v>
      </c>
      <c r="E269" s="8">
        <f>Source!AT135</f>
        <v>70</v>
      </c>
      <c r="F269" s="22"/>
      <c r="G269" s="21"/>
      <c r="H269" s="8"/>
      <c r="I269" s="8"/>
      <c r="J269" s="22">
        <f>SUM(R263:R268)</f>
        <v>1015237.83</v>
      </c>
      <c r="K269" s="22"/>
    </row>
    <row r="270" spans="1:22" ht="14.5" x14ac:dyDescent="0.35">
      <c r="A270" s="19"/>
      <c r="B270" s="19"/>
      <c r="C270" s="19" t="s">
        <v>347</v>
      </c>
      <c r="D270" s="20" t="s">
        <v>344</v>
      </c>
      <c r="E270" s="8">
        <f>Source!AU135</f>
        <v>10</v>
      </c>
      <c r="F270" s="22"/>
      <c r="G270" s="21"/>
      <c r="H270" s="8"/>
      <c r="I270" s="8"/>
      <c r="J270" s="22">
        <f>SUM(T263:T269)</f>
        <v>145033.98000000001</v>
      </c>
      <c r="K270" s="22"/>
    </row>
    <row r="271" spans="1:22" ht="14.5" x14ac:dyDescent="0.35">
      <c r="A271" s="19"/>
      <c r="B271" s="19"/>
      <c r="C271" s="19" t="s">
        <v>343</v>
      </c>
      <c r="D271" s="20" t="s">
        <v>344</v>
      </c>
      <c r="E271" s="8">
        <f>108</f>
        <v>108</v>
      </c>
      <c r="F271" s="22"/>
      <c r="G271" s="21"/>
      <c r="H271" s="8"/>
      <c r="I271" s="8"/>
      <c r="J271" s="22">
        <f>SUM(V263:V270)</f>
        <v>2666233.2200000002</v>
      </c>
      <c r="K271" s="22"/>
    </row>
    <row r="272" spans="1:22" ht="14.5" x14ac:dyDescent="0.35">
      <c r="A272" s="19"/>
      <c r="B272" s="19"/>
      <c r="C272" s="19" t="s">
        <v>348</v>
      </c>
      <c r="D272" s="20" t="s">
        <v>349</v>
      </c>
      <c r="E272" s="8">
        <f>Source!AQ135</f>
        <v>0.56000000000000005</v>
      </c>
      <c r="F272" s="22"/>
      <c r="G272" s="21" t="str">
        <f>Source!DI135</f>
        <v>)*14</v>
      </c>
      <c r="H272" s="8">
        <f>Source!AV135</f>
        <v>1</v>
      </c>
      <c r="I272" s="8"/>
      <c r="J272" s="22"/>
      <c r="K272" s="22">
        <f>Source!U135</f>
        <v>4453.0416000000005</v>
      </c>
    </row>
    <row r="273" spans="1:22" ht="14" x14ac:dyDescent="0.3">
      <c r="A273" s="27"/>
      <c r="B273" s="27"/>
      <c r="C273" s="27"/>
      <c r="D273" s="27"/>
      <c r="E273" s="27"/>
      <c r="F273" s="27"/>
      <c r="G273" s="27"/>
      <c r="H273" s="27"/>
      <c r="I273" s="45">
        <f>J264+J265+J267+J269+J270+J271+SUM(J268:J268)</f>
        <v>12427713.920000002</v>
      </c>
      <c r="J273" s="45"/>
      <c r="K273" s="28">
        <f>IF(Source!I135&lt;&gt;0, ROUND(I273/Source!I135, 2), 0)</f>
        <v>21880.16</v>
      </c>
      <c r="P273" s="25">
        <f>I273</f>
        <v>12427713.920000002</v>
      </c>
    </row>
    <row r="274" spans="1:22" ht="56" x14ac:dyDescent="0.35">
      <c r="A274" s="19">
        <v>30</v>
      </c>
      <c r="B274" s="19" t="str">
        <f>Source!F137</f>
        <v>5.4-3405-22-1/1</v>
      </c>
      <c r="C274" s="19" t="str">
        <f>Source!G137</f>
        <v>Внесение минеральных удобрений - равномерное внесение в почву сухих минеральных удобрений (без стоимости материалов)</v>
      </c>
      <c r="D274" s="20" t="str">
        <f>Source!H137</f>
        <v>100 м2</v>
      </c>
      <c r="E274" s="8">
        <f>Source!I137</f>
        <v>756.19</v>
      </c>
      <c r="F274" s="22"/>
      <c r="G274" s="21"/>
      <c r="H274" s="8"/>
      <c r="I274" s="8"/>
      <c r="J274" s="22"/>
      <c r="K274" s="22"/>
      <c r="Q274">
        <f>ROUND((Source!BZ137/100)*ROUND((Source!AF137*Source!AV137)*Source!I137, 2), 2)</f>
        <v>186097.6</v>
      </c>
      <c r="R274">
        <f>Source!X137</f>
        <v>186097.6</v>
      </c>
      <c r="S274">
        <f>ROUND((Source!CA137/100)*ROUND((Source!AF137*Source!AV137)*Source!I137, 2), 2)</f>
        <v>26585.37</v>
      </c>
      <c r="T274">
        <f>Source!Y137</f>
        <v>26585.37</v>
      </c>
      <c r="U274">
        <f>ROUND((175/100)*ROUND((Source!AE137*Source!AV137)*Source!I137, 2), 2)</f>
        <v>0</v>
      </c>
      <c r="V274">
        <f>ROUND((108/100)*ROUND(Source!CS137*Source!I137, 2), 2)</f>
        <v>0</v>
      </c>
    </row>
    <row r="275" spans="1:22" x14ac:dyDescent="0.25">
      <c r="C275" s="23" t="str">
        <f>"Объем: "&amp;Source!I137&amp;"=75619/"&amp;"100"</f>
        <v>Объем: 756,19=75619/100</v>
      </c>
    </row>
    <row r="276" spans="1:22" ht="14.5" x14ac:dyDescent="0.35">
      <c r="A276" s="19"/>
      <c r="B276" s="19"/>
      <c r="C276" s="19" t="s">
        <v>345</v>
      </c>
      <c r="D276" s="20"/>
      <c r="E276" s="8"/>
      <c r="F276" s="22">
        <f>Source!AO137</f>
        <v>351.57</v>
      </c>
      <c r="G276" s="21" t="str">
        <f>Source!DG137</f>
        <v/>
      </c>
      <c r="H276" s="8">
        <f>Source!AV137</f>
        <v>1</v>
      </c>
      <c r="I276" s="8">
        <f>IF(Source!BA137&lt;&gt; 0, Source!BA137, 1)</f>
        <v>1</v>
      </c>
      <c r="J276" s="22">
        <f>Source!S137</f>
        <v>265853.71999999997</v>
      </c>
      <c r="K276" s="22"/>
    </row>
    <row r="277" spans="1:22" ht="28" x14ac:dyDescent="0.35">
      <c r="A277" s="19" t="s">
        <v>212</v>
      </c>
      <c r="B277" s="19" t="str">
        <f>Source!F138</f>
        <v>21.4-4-17</v>
      </c>
      <c r="C277" s="19" t="str">
        <f>Source!G138</f>
        <v>Удобрения комплексные минеральные для газонов</v>
      </c>
      <c r="D277" s="20" t="str">
        <f>Source!H138</f>
        <v>кг</v>
      </c>
      <c r="E277" s="8">
        <f>Source!I138</f>
        <v>3780.95</v>
      </c>
      <c r="F277" s="22">
        <f>Source!AK138</f>
        <v>109.62</v>
      </c>
      <c r="G277" s="29" t="s">
        <v>3</v>
      </c>
      <c r="H277" s="8">
        <f>Source!AW138</f>
        <v>1</v>
      </c>
      <c r="I277" s="8">
        <f>IF(Source!BC138&lt;&gt; 0, Source!BC138, 1)</f>
        <v>1</v>
      </c>
      <c r="J277" s="22">
        <f>Source!O138</f>
        <v>414467.74</v>
      </c>
      <c r="K277" s="22"/>
      <c r="Q277">
        <f>ROUND((Source!BZ138/100)*ROUND((Source!AF138*Source!AV138)*Source!I138, 2), 2)</f>
        <v>0</v>
      </c>
      <c r="R277">
        <f>Source!X138</f>
        <v>0</v>
      </c>
      <c r="S277">
        <f>ROUND((Source!CA138/100)*ROUND((Source!AF138*Source!AV138)*Source!I138, 2), 2)</f>
        <v>0</v>
      </c>
      <c r="T277">
        <f>Source!Y138</f>
        <v>0</v>
      </c>
      <c r="U277">
        <f>ROUND((175/100)*ROUND((Source!AE138*Source!AV138)*Source!I138, 2), 2)</f>
        <v>0</v>
      </c>
      <c r="V277">
        <f>ROUND((108/100)*ROUND(Source!CS138*Source!I138, 2), 2)</f>
        <v>0</v>
      </c>
    </row>
    <row r="278" spans="1:22" ht="14.5" x14ac:dyDescent="0.35">
      <c r="A278" s="19"/>
      <c r="B278" s="19"/>
      <c r="C278" s="19" t="s">
        <v>346</v>
      </c>
      <c r="D278" s="20" t="s">
        <v>344</v>
      </c>
      <c r="E278" s="8">
        <f>Source!AT137</f>
        <v>70</v>
      </c>
      <c r="F278" s="22"/>
      <c r="G278" s="21"/>
      <c r="H278" s="8"/>
      <c r="I278" s="8"/>
      <c r="J278" s="22">
        <f>SUM(R274:R277)</f>
        <v>186097.6</v>
      </c>
      <c r="K278" s="22"/>
    </row>
    <row r="279" spans="1:22" ht="14.5" x14ac:dyDescent="0.35">
      <c r="A279" s="19"/>
      <c r="B279" s="19"/>
      <c r="C279" s="19" t="s">
        <v>347</v>
      </c>
      <c r="D279" s="20" t="s">
        <v>344</v>
      </c>
      <c r="E279" s="8">
        <f>Source!AU137</f>
        <v>10</v>
      </c>
      <c r="F279" s="22"/>
      <c r="G279" s="21"/>
      <c r="H279" s="8"/>
      <c r="I279" s="8"/>
      <c r="J279" s="22">
        <f>SUM(T274:T278)</f>
        <v>26585.37</v>
      </c>
      <c r="K279" s="22"/>
    </row>
    <row r="280" spans="1:22" ht="14.5" x14ac:dyDescent="0.35">
      <c r="A280" s="19"/>
      <c r="B280" s="19"/>
      <c r="C280" s="19" t="s">
        <v>348</v>
      </c>
      <c r="D280" s="20" t="s">
        <v>349</v>
      </c>
      <c r="E280" s="8">
        <f>Source!AQ137</f>
        <v>0.7</v>
      </c>
      <c r="F280" s="22"/>
      <c r="G280" s="21" t="str">
        <f>Source!DI137</f>
        <v/>
      </c>
      <c r="H280" s="8">
        <f>Source!AV137</f>
        <v>1</v>
      </c>
      <c r="I280" s="8"/>
      <c r="J280" s="22"/>
      <c r="K280" s="22">
        <f>Source!U137</f>
        <v>529.33299999999997</v>
      </c>
    </row>
    <row r="281" spans="1:22" ht="14" x14ac:dyDescent="0.3">
      <c r="A281" s="27"/>
      <c r="B281" s="27"/>
      <c r="C281" s="27"/>
      <c r="D281" s="27"/>
      <c r="E281" s="27"/>
      <c r="F281" s="27"/>
      <c r="G281" s="27"/>
      <c r="H281" s="27"/>
      <c r="I281" s="45">
        <f>J276+J278+J279+SUM(J277:J277)</f>
        <v>893004.42999999993</v>
      </c>
      <c r="J281" s="45"/>
      <c r="K281" s="28">
        <f>IF(Source!I137&lt;&gt;0, ROUND(I281/Source!I137, 2), 0)</f>
        <v>1180.93</v>
      </c>
      <c r="P281" s="25">
        <f>I281</f>
        <v>893004.42999999993</v>
      </c>
    </row>
    <row r="282" spans="1:22" ht="28" x14ac:dyDescent="0.35">
      <c r="A282" s="19">
        <v>31</v>
      </c>
      <c r="B282" s="19" t="str">
        <f>Source!F139</f>
        <v>5.4-3405-7-1/1</v>
      </c>
      <c r="C282" s="19" t="str">
        <f>Source!G139</f>
        <v>Полив зеленых насаждений из шланга поливомоечной машины (20 л на 1 м2)</v>
      </c>
      <c r="D282" s="20" t="str">
        <f>Source!H139</f>
        <v>м3</v>
      </c>
      <c r="E282" s="8">
        <f>Source!I139</f>
        <v>94.56</v>
      </c>
      <c r="F282" s="22"/>
      <c r="G282" s="21"/>
      <c r="H282" s="8"/>
      <c r="I282" s="8"/>
      <c r="J282" s="22"/>
      <c r="K282" s="22"/>
      <c r="Q282">
        <f>ROUND((Source!BZ139/100)*ROUND((Source!AF139*Source!AV139)*Source!I139, 2), 2)</f>
        <v>120727.59</v>
      </c>
      <c r="R282">
        <f>Source!X139</f>
        <v>120727.59</v>
      </c>
      <c r="S282">
        <f>ROUND((Source!CA139/100)*ROUND((Source!AF139*Source!AV139)*Source!I139, 2), 2)</f>
        <v>17246.8</v>
      </c>
      <c r="T282">
        <f>Source!Y139</f>
        <v>17246.8</v>
      </c>
      <c r="U282">
        <f>ROUND((175/100)*ROUND((Source!AE139*Source!AV139)*Source!I139, 2), 2)</f>
        <v>513749.22</v>
      </c>
      <c r="V282">
        <f>ROUND((108/100)*ROUND(Source!CS139*Source!I139, 2), 2)</f>
        <v>317056.65999999997</v>
      </c>
    </row>
    <row r="283" spans="1:22" ht="14.5" x14ac:dyDescent="0.35">
      <c r="A283" s="19"/>
      <c r="B283" s="19"/>
      <c r="C283" s="19" t="s">
        <v>345</v>
      </c>
      <c r="D283" s="20"/>
      <c r="E283" s="8"/>
      <c r="F283" s="22">
        <f>Source!AO139</f>
        <v>182.39</v>
      </c>
      <c r="G283" s="21" t="str">
        <f>Source!DG139</f>
        <v>)*10</v>
      </c>
      <c r="H283" s="8">
        <f>Source!AV139</f>
        <v>1</v>
      </c>
      <c r="I283" s="8">
        <f>IF(Source!BA139&lt;&gt; 0, Source!BA139, 1)</f>
        <v>1</v>
      </c>
      <c r="J283" s="22">
        <f>Source!S139</f>
        <v>172467.98</v>
      </c>
      <c r="K283" s="22"/>
    </row>
    <row r="284" spans="1:22" ht="14.5" x14ac:dyDescent="0.35">
      <c r="A284" s="19"/>
      <c r="B284" s="19"/>
      <c r="C284" s="19" t="s">
        <v>341</v>
      </c>
      <c r="D284" s="20"/>
      <c r="E284" s="8"/>
      <c r="F284" s="22">
        <f>Source!AM139</f>
        <v>899.27</v>
      </c>
      <c r="G284" s="21" t="str">
        <f>Source!DE139</f>
        <v>)*10</v>
      </c>
      <c r="H284" s="8">
        <f>Source!AV139</f>
        <v>1</v>
      </c>
      <c r="I284" s="8">
        <f>IF(Source!BB139&lt;&gt; 0, Source!BB139, 1)</f>
        <v>1</v>
      </c>
      <c r="J284" s="22">
        <f>Source!Q139</f>
        <v>850349.71</v>
      </c>
      <c r="K284" s="22"/>
    </row>
    <row r="285" spans="1:22" ht="14.5" x14ac:dyDescent="0.35">
      <c r="A285" s="19"/>
      <c r="B285" s="19"/>
      <c r="C285" s="19" t="s">
        <v>342</v>
      </c>
      <c r="D285" s="20"/>
      <c r="E285" s="8"/>
      <c r="F285" s="22">
        <f>Source!AN139</f>
        <v>310.45999999999998</v>
      </c>
      <c r="G285" s="21" t="str">
        <f>Source!DF139</f>
        <v>)*10</v>
      </c>
      <c r="H285" s="8">
        <f>Source!AV139</f>
        <v>1</v>
      </c>
      <c r="I285" s="8">
        <f>IF(Source!BS139&lt;&gt; 0, Source!BS139, 1)</f>
        <v>1</v>
      </c>
      <c r="J285" s="24">
        <f>Source!R139</f>
        <v>293570.98</v>
      </c>
      <c r="K285" s="22"/>
    </row>
    <row r="286" spans="1:22" ht="14.5" x14ac:dyDescent="0.35">
      <c r="A286" s="19"/>
      <c r="B286" s="19"/>
      <c r="C286" s="19" t="s">
        <v>350</v>
      </c>
      <c r="D286" s="20"/>
      <c r="E286" s="8"/>
      <c r="F286" s="22">
        <f>Source!AL139</f>
        <v>54.81</v>
      </c>
      <c r="G286" s="21" t="str">
        <f>Source!DD139</f>
        <v>)*10</v>
      </c>
      <c r="H286" s="8">
        <f>Source!AW139</f>
        <v>1</v>
      </c>
      <c r="I286" s="8">
        <f>IF(Source!BC139&lt;&gt; 0, Source!BC139, 1)</f>
        <v>1</v>
      </c>
      <c r="J286" s="22">
        <f>Source!P139</f>
        <v>51828.34</v>
      </c>
      <c r="K286" s="22"/>
    </row>
    <row r="287" spans="1:22" ht="14.5" x14ac:dyDescent="0.35">
      <c r="A287" s="19"/>
      <c r="B287" s="19"/>
      <c r="C287" s="19" t="s">
        <v>346</v>
      </c>
      <c r="D287" s="20" t="s">
        <v>344</v>
      </c>
      <c r="E287" s="8">
        <f>Source!AT139</f>
        <v>70</v>
      </c>
      <c r="F287" s="22"/>
      <c r="G287" s="21"/>
      <c r="H287" s="8"/>
      <c r="I287" s="8"/>
      <c r="J287" s="22">
        <f>SUM(R282:R286)</f>
        <v>120727.59</v>
      </c>
      <c r="K287" s="22"/>
    </row>
    <row r="288" spans="1:22" ht="14.5" x14ac:dyDescent="0.35">
      <c r="A288" s="19"/>
      <c r="B288" s="19"/>
      <c r="C288" s="19" t="s">
        <v>347</v>
      </c>
      <c r="D288" s="20" t="s">
        <v>344</v>
      </c>
      <c r="E288" s="8">
        <f>Source!AU139</f>
        <v>10</v>
      </c>
      <c r="F288" s="22"/>
      <c r="G288" s="21"/>
      <c r="H288" s="8"/>
      <c r="I288" s="8"/>
      <c r="J288" s="22">
        <f>SUM(T282:T287)</f>
        <v>17246.8</v>
      </c>
      <c r="K288" s="22"/>
    </row>
    <row r="289" spans="1:22" ht="14.5" x14ac:dyDescent="0.35">
      <c r="A289" s="19"/>
      <c r="B289" s="19"/>
      <c r="C289" s="19" t="s">
        <v>343</v>
      </c>
      <c r="D289" s="20" t="s">
        <v>344</v>
      </c>
      <c r="E289" s="8">
        <f>108</f>
        <v>108</v>
      </c>
      <c r="F289" s="22"/>
      <c r="G289" s="21"/>
      <c r="H289" s="8"/>
      <c r="I289" s="8"/>
      <c r="J289" s="22">
        <f>SUM(V282:V288)</f>
        <v>317056.65999999997</v>
      </c>
      <c r="K289" s="22"/>
    </row>
    <row r="290" spans="1:22" ht="14.5" x14ac:dyDescent="0.35">
      <c r="A290" s="19"/>
      <c r="B290" s="19"/>
      <c r="C290" s="19" t="s">
        <v>348</v>
      </c>
      <c r="D290" s="20" t="s">
        <v>349</v>
      </c>
      <c r="E290" s="8">
        <f>Source!AQ139</f>
        <v>0.56000000000000005</v>
      </c>
      <c r="F290" s="22"/>
      <c r="G290" s="21" t="str">
        <f>Source!DI139</f>
        <v>)*10</v>
      </c>
      <c r="H290" s="8">
        <f>Source!AV139</f>
        <v>1</v>
      </c>
      <c r="I290" s="8"/>
      <c r="J290" s="22"/>
      <c r="K290" s="22">
        <f>Source!U139</f>
        <v>529.53600000000006</v>
      </c>
    </row>
    <row r="291" spans="1:22" ht="14" x14ac:dyDescent="0.3">
      <c r="A291" s="27"/>
      <c r="B291" s="27"/>
      <c r="C291" s="27"/>
      <c r="D291" s="27"/>
      <c r="E291" s="27"/>
      <c r="F291" s="27"/>
      <c r="G291" s="27"/>
      <c r="H291" s="27"/>
      <c r="I291" s="45">
        <f>J283+J284+J286+J287+J288+J289</f>
        <v>1529677.08</v>
      </c>
      <c r="J291" s="45"/>
      <c r="K291" s="28">
        <f>IF(Source!I139&lt;&gt;0, ROUND(I291/Source!I139, 2), 0)</f>
        <v>16176.79</v>
      </c>
      <c r="P291" s="25">
        <f>I291</f>
        <v>1529677.08</v>
      </c>
    </row>
    <row r="292" spans="1:22" ht="28" x14ac:dyDescent="0.35">
      <c r="A292" s="19">
        <v>32</v>
      </c>
      <c r="B292" s="19" t="str">
        <f>Source!F140</f>
        <v>5.4-3405-30-1/1</v>
      </c>
      <c r="C292" s="19" t="str">
        <f>Source!G140</f>
        <v>Формовочная обрезка, стрижка кустарников - диаметр до 1 м</v>
      </c>
      <c r="D292" s="20" t="str">
        <f>Source!H140</f>
        <v>10 шт.</v>
      </c>
      <c r="E292" s="8">
        <f>Source!I140</f>
        <v>472.8</v>
      </c>
      <c r="F292" s="22"/>
      <c r="G292" s="21"/>
      <c r="H292" s="8"/>
      <c r="I292" s="8"/>
      <c r="J292" s="22"/>
      <c r="K292" s="22"/>
      <c r="Q292">
        <f>ROUND((Source!BZ140/100)*ROUND((Source!AF140*Source!AV140)*Source!I140, 2), 2)</f>
        <v>2226553.2599999998</v>
      </c>
      <c r="R292">
        <f>Source!X140</f>
        <v>2226553.2599999998</v>
      </c>
      <c r="S292">
        <f>ROUND((Source!CA140/100)*ROUND((Source!AF140*Source!AV140)*Source!I140, 2), 2)</f>
        <v>318079.03999999998</v>
      </c>
      <c r="T292">
        <f>Source!Y140</f>
        <v>318079.03999999998</v>
      </c>
      <c r="U292">
        <f>ROUND((175/100)*ROUND((Source!AE140*Source!AV140)*Source!I140, 2), 2)</f>
        <v>0</v>
      </c>
      <c r="V292">
        <f>ROUND((108/100)*ROUND(Source!CS140*Source!I140, 2), 2)</f>
        <v>0</v>
      </c>
    </row>
    <row r="293" spans="1:22" x14ac:dyDescent="0.25">
      <c r="C293" s="23" t="str">
        <f>"Объем: "&amp;Source!I140&amp;"=4728/"&amp;"10"</f>
        <v>Объем: 472,8=4728/10</v>
      </c>
    </row>
    <row r="294" spans="1:22" ht="14.5" x14ac:dyDescent="0.35">
      <c r="A294" s="19"/>
      <c r="B294" s="19"/>
      <c r="C294" s="19" t="s">
        <v>345</v>
      </c>
      <c r="D294" s="20"/>
      <c r="E294" s="8"/>
      <c r="F294" s="22">
        <f>Source!AO140</f>
        <v>1121.26</v>
      </c>
      <c r="G294" s="21" t="str">
        <f>Source!DG140</f>
        <v>)*6</v>
      </c>
      <c r="H294" s="8">
        <f>Source!AV140</f>
        <v>1</v>
      </c>
      <c r="I294" s="8">
        <f>IF(Source!BA140&lt;&gt; 0, Source!BA140, 1)</f>
        <v>1</v>
      </c>
      <c r="J294" s="22">
        <f>Source!S140</f>
        <v>3180790.37</v>
      </c>
      <c r="K294" s="22"/>
    </row>
    <row r="295" spans="1:22" ht="14.5" x14ac:dyDescent="0.35">
      <c r="A295" s="19"/>
      <c r="B295" s="19"/>
      <c r="C295" s="19" t="s">
        <v>350</v>
      </c>
      <c r="D295" s="20"/>
      <c r="E295" s="8"/>
      <c r="F295" s="22">
        <f>Source!AL140</f>
        <v>1.38</v>
      </c>
      <c r="G295" s="21" t="str">
        <f>Source!DD140</f>
        <v>)*6</v>
      </c>
      <c r="H295" s="8">
        <f>Source!AW140</f>
        <v>1</v>
      </c>
      <c r="I295" s="8">
        <f>IF(Source!BC140&lt;&gt; 0, Source!BC140, 1)</f>
        <v>1</v>
      </c>
      <c r="J295" s="22">
        <f>Source!P140</f>
        <v>3914.78</v>
      </c>
      <c r="K295" s="22"/>
    </row>
    <row r="296" spans="1:22" ht="14.5" x14ac:dyDescent="0.35">
      <c r="A296" s="19"/>
      <c r="B296" s="19"/>
      <c r="C296" s="19" t="s">
        <v>346</v>
      </c>
      <c r="D296" s="20" t="s">
        <v>344</v>
      </c>
      <c r="E296" s="8">
        <f>Source!AT140</f>
        <v>70</v>
      </c>
      <c r="F296" s="22"/>
      <c r="G296" s="21"/>
      <c r="H296" s="8"/>
      <c r="I296" s="8"/>
      <c r="J296" s="22">
        <f>SUM(R292:R295)</f>
        <v>2226553.2599999998</v>
      </c>
      <c r="K296" s="22"/>
    </row>
    <row r="297" spans="1:22" ht="14.5" x14ac:dyDescent="0.35">
      <c r="A297" s="19"/>
      <c r="B297" s="19"/>
      <c r="C297" s="19" t="s">
        <v>347</v>
      </c>
      <c r="D297" s="20" t="s">
        <v>344</v>
      </c>
      <c r="E297" s="8">
        <f>Source!AU140</f>
        <v>10</v>
      </c>
      <c r="F297" s="22"/>
      <c r="G297" s="21"/>
      <c r="H297" s="8"/>
      <c r="I297" s="8"/>
      <c r="J297" s="22">
        <f>SUM(T292:T296)</f>
        <v>318079.03999999998</v>
      </c>
      <c r="K297" s="22"/>
    </row>
    <row r="298" spans="1:22" ht="14.5" x14ac:dyDescent="0.35">
      <c r="A298" s="19"/>
      <c r="B298" s="19"/>
      <c r="C298" s="19" t="s">
        <v>348</v>
      </c>
      <c r="D298" s="20" t="s">
        <v>349</v>
      </c>
      <c r="E298" s="8">
        <f>Source!AQ140</f>
        <v>1.58</v>
      </c>
      <c r="F298" s="22"/>
      <c r="G298" s="21" t="str">
        <f>Source!DI140</f>
        <v>)*6</v>
      </c>
      <c r="H298" s="8">
        <f>Source!AV140</f>
        <v>1</v>
      </c>
      <c r="I298" s="8"/>
      <c r="J298" s="22"/>
      <c r="K298" s="22">
        <f>Source!U140</f>
        <v>4482.1440000000002</v>
      </c>
    </row>
    <row r="299" spans="1:22" ht="14" x14ac:dyDescent="0.3">
      <c r="A299" s="27"/>
      <c r="B299" s="27"/>
      <c r="C299" s="27"/>
      <c r="D299" s="27"/>
      <c r="E299" s="27"/>
      <c r="F299" s="27"/>
      <c r="G299" s="27"/>
      <c r="H299" s="27"/>
      <c r="I299" s="45">
        <f>J294+J295+J296+J297</f>
        <v>5729337.4500000002</v>
      </c>
      <c r="J299" s="45"/>
      <c r="K299" s="28">
        <f>IF(Source!I140&lt;&gt;0, ROUND(I299/Source!I140, 2), 0)</f>
        <v>12117.89</v>
      </c>
      <c r="P299" s="25">
        <f>I299</f>
        <v>5729337.4500000002</v>
      </c>
    </row>
    <row r="300" spans="1:22" ht="28" x14ac:dyDescent="0.35">
      <c r="A300" s="19">
        <v>33</v>
      </c>
      <c r="B300" s="19" t="str">
        <f>Source!F141</f>
        <v>5.4-3405-7-1/1</v>
      </c>
      <c r="C300" s="19" t="str">
        <f>Source!G141</f>
        <v>Полив зеленых насаждений из шланга поливомоечной машины (5 л на 1 м2)</v>
      </c>
      <c r="D300" s="20" t="str">
        <f>Source!H141</f>
        <v>м3</v>
      </c>
      <c r="E300" s="8">
        <f>Source!I141</f>
        <v>16.925000000000001</v>
      </c>
      <c r="F300" s="22"/>
      <c r="G300" s="21"/>
      <c r="H300" s="8"/>
      <c r="I300" s="8"/>
      <c r="J300" s="22"/>
      <c r="K300" s="22"/>
      <c r="Q300">
        <f>ROUND((Source!BZ141/100)*ROUND((Source!AF141*Source!AV141)*Source!I141, 2), 2)</f>
        <v>43217.31</v>
      </c>
      <c r="R300">
        <f>Source!X141</f>
        <v>43217.31</v>
      </c>
      <c r="S300">
        <f>ROUND((Source!CA141/100)*ROUND((Source!AF141*Source!AV141)*Source!I141, 2), 2)</f>
        <v>6173.9</v>
      </c>
      <c r="T300">
        <f>Source!Y141</f>
        <v>6173.9</v>
      </c>
      <c r="U300">
        <f>ROUND((175/100)*ROUND((Source!AE141*Source!AV141)*Source!I141, 2), 2)</f>
        <v>183908.74</v>
      </c>
      <c r="V300">
        <f>ROUND((108/100)*ROUND(Source!CS141*Source!I141, 2), 2)</f>
        <v>113497.97</v>
      </c>
    </row>
    <row r="301" spans="1:22" ht="14.5" x14ac:dyDescent="0.35">
      <c r="A301" s="19"/>
      <c r="B301" s="19"/>
      <c r="C301" s="19" t="s">
        <v>345</v>
      </c>
      <c r="D301" s="20"/>
      <c r="E301" s="8"/>
      <c r="F301" s="22">
        <f>Source!AO141</f>
        <v>182.39</v>
      </c>
      <c r="G301" s="21" t="str">
        <f>Source!DG141</f>
        <v>)*20</v>
      </c>
      <c r="H301" s="8">
        <f>Source!AV141</f>
        <v>1</v>
      </c>
      <c r="I301" s="8">
        <f>IF(Source!BA141&lt;&gt; 0, Source!BA141, 1)</f>
        <v>1</v>
      </c>
      <c r="J301" s="22">
        <f>Source!S141</f>
        <v>61739.02</v>
      </c>
      <c r="K301" s="22"/>
    </row>
    <row r="302" spans="1:22" ht="14.5" x14ac:dyDescent="0.35">
      <c r="A302" s="19"/>
      <c r="B302" s="19"/>
      <c r="C302" s="19" t="s">
        <v>341</v>
      </c>
      <c r="D302" s="20"/>
      <c r="E302" s="8"/>
      <c r="F302" s="22">
        <f>Source!AM141</f>
        <v>899.27</v>
      </c>
      <c r="G302" s="21" t="str">
        <f>Source!DE141</f>
        <v>)*20</v>
      </c>
      <c r="H302" s="8">
        <f>Source!AV141</f>
        <v>1</v>
      </c>
      <c r="I302" s="8">
        <f>IF(Source!BB141&lt;&gt; 0, Source!BB141, 1)</f>
        <v>1</v>
      </c>
      <c r="J302" s="22">
        <f>Source!Q141</f>
        <v>304402.90000000002</v>
      </c>
      <c r="K302" s="22"/>
    </row>
    <row r="303" spans="1:22" ht="14.5" x14ac:dyDescent="0.35">
      <c r="A303" s="19"/>
      <c r="B303" s="19"/>
      <c r="C303" s="19" t="s">
        <v>342</v>
      </c>
      <c r="D303" s="20"/>
      <c r="E303" s="8"/>
      <c r="F303" s="22">
        <f>Source!AN141</f>
        <v>310.45999999999998</v>
      </c>
      <c r="G303" s="21" t="str">
        <f>Source!DF141</f>
        <v>)*20</v>
      </c>
      <c r="H303" s="8">
        <f>Source!AV141</f>
        <v>1</v>
      </c>
      <c r="I303" s="8">
        <f>IF(Source!BS141&lt;&gt; 0, Source!BS141, 1)</f>
        <v>1</v>
      </c>
      <c r="J303" s="24">
        <f>Source!R141</f>
        <v>105090.71</v>
      </c>
      <c r="K303" s="22"/>
    </row>
    <row r="304" spans="1:22" ht="14.5" x14ac:dyDescent="0.35">
      <c r="A304" s="19"/>
      <c r="B304" s="19"/>
      <c r="C304" s="19" t="s">
        <v>350</v>
      </c>
      <c r="D304" s="20"/>
      <c r="E304" s="8"/>
      <c r="F304" s="22">
        <f>Source!AL141</f>
        <v>54.81</v>
      </c>
      <c r="G304" s="21" t="str">
        <f>Source!DD141</f>
        <v>)*20</v>
      </c>
      <c r="H304" s="8">
        <f>Source!AW141</f>
        <v>1</v>
      </c>
      <c r="I304" s="8">
        <f>IF(Source!BC141&lt;&gt; 0, Source!BC141, 1)</f>
        <v>1</v>
      </c>
      <c r="J304" s="22">
        <f>Source!P141</f>
        <v>18553.189999999999</v>
      </c>
      <c r="K304" s="22"/>
    </row>
    <row r="305" spans="1:22" ht="14.5" x14ac:dyDescent="0.35">
      <c r="A305" s="19"/>
      <c r="B305" s="19"/>
      <c r="C305" s="19" t="s">
        <v>346</v>
      </c>
      <c r="D305" s="20" t="s">
        <v>344</v>
      </c>
      <c r="E305" s="8">
        <f>Source!AT141</f>
        <v>70</v>
      </c>
      <c r="F305" s="22"/>
      <c r="G305" s="21"/>
      <c r="H305" s="8"/>
      <c r="I305" s="8"/>
      <c r="J305" s="22">
        <f>SUM(R300:R304)</f>
        <v>43217.31</v>
      </c>
      <c r="K305" s="22"/>
    </row>
    <row r="306" spans="1:22" ht="14.5" x14ac:dyDescent="0.35">
      <c r="A306" s="19"/>
      <c r="B306" s="19"/>
      <c r="C306" s="19" t="s">
        <v>347</v>
      </c>
      <c r="D306" s="20" t="s">
        <v>344</v>
      </c>
      <c r="E306" s="8">
        <f>Source!AU141</f>
        <v>10</v>
      </c>
      <c r="F306" s="22"/>
      <c r="G306" s="21"/>
      <c r="H306" s="8"/>
      <c r="I306" s="8"/>
      <c r="J306" s="22">
        <f>SUM(T300:T305)</f>
        <v>6173.9</v>
      </c>
      <c r="K306" s="22"/>
    </row>
    <row r="307" spans="1:22" ht="14.5" x14ac:dyDescent="0.35">
      <c r="A307" s="19"/>
      <c r="B307" s="19"/>
      <c r="C307" s="19" t="s">
        <v>343</v>
      </c>
      <c r="D307" s="20" t="s">
        <v>344</v>
      </c>
      <c r="E307" s="8">
        <f>108</f>
        <v>108</v>
      </c>
      <c r="F307" s="22"/>
      <c r="G307" s="21"/>
      <c r="H307" s="8"/>
      <c r="I307" s="8"/>
      <c r="J307" s="22">
        <f>SUM(V300:V306)</f>
        <v>113497.97</v>
      </c>
      <c r="K307" s="22"/>
    </row>
    <row r="308" spans="1:22" ht="14.5" x14ac:dyDescent="0.35">
      <c r="A308" s="19"/>
      <c r="B308" s="19"/>
      <c r="C308" s="19" t="s">
        <v>348</v>
      </c>
      <c r="D308" s="20" t="s">
        <v>349</v>
      </c>
      <c r="E308" s="8">
        <f>Source!AQ141</f>
        <v>0.56000000000000005</v>
      </c>
      <c r="F308" s="22"/>
      <c r="G308" s="21" t="str">
        <f>Source!DI141</f>
        <v>)*20</v>
      </c>
      <c r="H308" s="8">
        <f>Source!AV141</f>
        <v>1</v>
      </c>
      <c r="I308" s="8"/>
      <c r="J308" s="22"/>
      <c r="K308" s="22">
        <f>Source!U141</f>
        <v>189.56000000000003</v>
      </c>
    </row>
    <row r="309" spans="1:22" ht="14" x14ac:dyDescent="0.3">
      <c r="A309" s="27"/>
      <c r="B309" s="27"/>
      <c r="C309" s="27"/>
      <c r="D309" s="27"/>
      <c r="E309" s="27"/>
      <c r="F309" s="27"/>
      <c r="G309" s="27"/>
      <c r="H309" s="27"/>
      <c r="I309" s="45">
        <f>J301+J302+J304+J305+J306+J307</f>
        <v>547584.29</v>
      </c>
      <c r="J309" s="45"/>
      <c r="K309" s="28">
        <f>IF(Source!I141&lt;&gt;0, ROUND(I309/Source!I141, 2), 0)</f>
        <v>32353.58</v>
      </c>
      <c r="P309" s="25">
        <f>I309</f>
        <v>547584.29</v>
      </c>
    </row>
    <row r="310" spans="1:22" ht="28" x14ac:dyDescent="0.35">
      <c r="A310" s="19">
        <v>34</v>
      </c>
      <c r="B310" s="19" t="str">
        <f>Source!F142</f>
        <v>5.4-3405-12-2/1</v>
      </c>
      <c r="C310" s="19" t="str">
        <f>Source!G142</f>
        <v>Прополка цветников с применением полотиков</v>
      </c>
      <c r="D310" s="20" t="str">
        <f>Source!H142</f>
        <v>100 м2</v>
      </c>
      <c r="E310" s="8">
        <f>Source!I142</f>
        <v>33.85</v>
      </c>
      <c r="F310" s="22"/>
      <c r="G310" s="21"/>
      <c r="H310" s="8"/>
      <c r="I310" s="8"/>
      <c r="J310" s="22"/>
      <c r="K310" s="22"/>
      <c r="Q310">
        <f>ROUND((Source!BZ142/100)*ROUND((Source!AF142*Source!AV142)*Source!I142, 2), 2)</f>
        <v>424546.63</v>
      </c>
      <c r="R310">
        <f>Source!X142</f>
        <v>424546.63</v>
      </c>
      <c r="S310">
        <f>ROUND((Source!CA142/100)*ROUND((Source!AF142*Source!AV142)*Source!I142, 2), 2)</f>
        <v>60649.52</v>
      </c>
      <c r="T310">
        <f>Source!Y142</f>
        <v>60649.52</v>
      </c>
      <c r="U310">
        <f>ROUND((175/100)*ROUND((Source!AE142*Source!AV142)*Source!I142, 2), 2)</f>
        <v>0</v>
      </c>
      <c r="V310">
        <f>ROUND((108/100)*ROUND(Source!CS142*Source!I142, 2), 2)</f>
        <v>0</v>
      </c>
    </row>
    <row r="311" spans="1:22" ht="14.5" x14ac:dyDescent="0.35">
      <c r="A311" s="19"/>
      <c r="B311" s="19"/>
      <c r="C311" s="19" t="s">
        <v>345</v>
      </c>
      <c r="D311" s="20"/>
      <c r="E311" s="8"/>
      <c r="F311" s="22">
        <f>Source!AO142</f>
        <v>2986.19</v>
      </c>
      <c r="G311" s="21" t="str">
        <f>Source!DG142</f>
        <v>)*6</v>
      </c>
      <c r="H311" s="8">
        <f>Source!AV142</f>
        <v>1</v>
      </c>
      <c r="I311" s="8">
        <f>IF(Source!BA142&lt;&gt; 0, Source!BA142, 1)</f>
        <v>1</v>
      </c>
      <c r="J311" s="22">
        <f>Source!S142</f>
        <v>606495.18999999994</v>
      </c>
      <c r="K311" s="22"/>
    </row>
    <row r="312" spans="1:22" ht="14.5" x14ac:dyDescent="0.35">
      <c r="A312" s="19"/>
      <c r="B312" s="19"/>
      <c r="C312" s="19" t="s">
        <v>346</v>
      </c>
      <c r="D312" s="20" t="s">
        <v>344</v>
      </c>
      <c r="E312" s="8">
        <f>Source!AT142</f>
        <v>70</v>
      </c>
      <c r="F312" s="22"/>
      <c r="G312" s="21"/>
      <c r="H312" s="8"/>
      <c r="I312" s="8"/>
      <c r="J312" s="22">
        <f>SUM(R310:R311)</f>
        <v>424546.63</v>
      </c>
      <c r="K312" s="22"/>
    </row>
    <row r="313" spans="1:22" ht="14.5" x14ac:dyDescent="0.35">
      <c r="A313" s="19"/>
      <c r="B313" s="19"/>
      <c r="C313" s="19" t="s">
        <v>347</v>
      </c>
      <c r="D313" s="20" t="s">
        <v>344</v>
      </c>
      <c r="E313" s="8">
        <f>Source!AU142</f>
        <v>10</v>
      </c>
      <c r="F313" s="22"/>
      <c r="G313" s="21"/>
      <c r="H313" s="8"/>
      <c r="I313" s="8"/>
      <c r="J313" s="22">
        <f>SUM(T310:T312)</f>
        <v>60649.52</v>
      </c>
      <c r="K313" s="22"/>
    </row>
    <row r="314" spans="1:22" ht="14.5" x14ac:dyDescent="0.35">
      <c r="A314" s="19"/>
      <c r="B314" s="19"/>
      <c r="C314" s="19" t="s">
        <v>348</v>
      </c>
      <c r="D314" s="20" t="s">
        <v>349</v>
      </c>
      <c r="E314" s="8">
        <f>Source!AQ142</f>
        <v>6.59</v>
      </c>
      <c r="F314" s="22"/>
      <c r="G314" s="21" t="str">
        <f>Source!DI142</f>
        <v>)*6</v>
      </c>
      <c r="H314" s="8">
        <f>Source!AV142</f>
        <v>1</v>
      </c>
      <c r="I314" s="8"/>
      <c r="J314" s="22"/>
      <c r="K314" s="22">
        <f>Source!U142</f>
        <v>1338.4290000000001</v>
      </c>
    </row>
    <row r="315" spans="1:22" ht="14" x14ac:dyDescent="0.3">
      <c r="A315" s="27"/>
      <c r="B315" s="27"/>
      <c r="C315" s="27"/>
      <c r="D315" s="27"/>
      <c r="E315" s="27"/>
      <c r="F315" s="27"/>
      <c r="G315" s="27"/>
      <c r="H315" s="27"/>
      <c r="I315" s="45">
        <f>J311+J312+J313</f>
        <v>1091691.3399999999</v>
      </c>
      <c r="J315" s="45"/>
      <c r="K315" s="28">
        <f>IF(Source!I142&lt;&gt;0, ROUND(I315/Source!I142, 2), 0)</f>
        <v>32250.85</v>
      </c>
      <c r="P315" s="25">
        <f>I315</f>
        <v>1091691.3399999999</v>
      </c>
    </row>
    <row r="316" spans="1:22" ht="84" x14ac:dyDescent="0.35">
      <c r="A316" s="19">
        <v>35</v>
      </c>
      <c r="B316" s="19" t="str">
        <f>Source!F143</f>
        <v>5.4-3405-24-1/1</v>
      </c>
      <c r="C316" s="19" t="str">
        <f>Source!G143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316" s="20" t="str">
        <f>Source!H143</f>
        <v>100 м2</v>
      </c>
      <c r="E316" s="8">
        <f>Source!I143</f>
        <v>33.85</v>
      </c>
      <c r="F316" s="22"/>
      <c r="G316" s="21"/>
      <c r="H316" s="8"/>
      <c r="I316" s="8"/>
      <c r="J316" s="22"/>
      <c r="K316" s="22"/>
      <c r="Q316">
        <f>ROUND((Source!BZ143/100)*ROUND((Source!AF143*Source!AV143)*Source!I143, 2), 2)</f>
        <v>5618.09</v>
      </c>
      <c r="R316">
        <f>Source!X143</f>
        <v>5618.09</v>
      </c>
      <c r="S316">
        <f>ROUND((Source!CA143/100)*ROUND((Source!AF143*Source!AV143)*Source!I143, 2), 2)</f>
        <v>802.58</v>
      </c>
      <c r="T316">
        <f>Source!Y143</f>
        <v>802.58</v>
      </c>
      <c r="U316">
        <f>ROUND((175/100)*ROUND((Source!AE143*Source!AV143)*Source!I143, 2), 2)</f>
        <v>4.74</v>
      </c>
      <c r="V316">
        <f>ROUND((108/100)*ROUND(Source!CS143*Source!I143, 2), 2)</f>
        <v>2.93</v>
      </c>
    </row>
    <row r="317" spans="1:22" x14ac:dyDescent="0.25">
      <c r="C317" s="23" t="str">
        <f>"Объем: "&amp;Source!I143&amp;"=3385/"&amp;"100"</f>
        <v>Объем: 33,85=3385/100</v>
      </c>
    </row>
    <row r="318" spans="1:22" ht="14.5" x14ac:dyDescent="0.35">
      <c r="A318" s="19"/>
      <c r="B318" s="19"/>
      <c r="C318" s="19" t="s">
        <v>345</v>
      </c>
      <c r="D318" s="20"/>
      <c r="E318" s="8"/>
      <c r="F318" s="22">
        <f>Source!AO143</f>
        <v>118.55</v>
      </c>
      <c r="G318" s="21" t="str">
        <f>Source!DG143</f>
        <v>)*2</v>
      </c>
      <c r="H318" s="8">
        <f>Source!AV143</f>
        <v>1</v>
      </c>
      <c r="I318" s="8">
        <f>IF(Source!BA143&lt;&gt; 0, Source!BA143, 1)</f>
        <v>1</v>
      </c>
      <c r="J318" s="22">
        <f>Source!S143</f>
        <v>8025.84</v>
      </c>
      <c r="K318" s="22"/>
    </row>
    <row r="319" spans="1:22" ht="14.5" x14ac:dyDescent="0.35">
      <c r="A319" s="19"/>
      <c r="B319" s="19"/>
      <c r="C319" s="19" t="s">
        <v>341</v>
      </c>
      <c r="D319" s="20"/>
      <c r="E319" s="8"/>
      <c r="F319" s="22">
        <f>Source!AM143</f>
        <v>19.71</v>
      </c>
      <c r="G319" s="21" t="str">
        <f>Source!DE143</f>
        <v>)*2</v>
      </c>
      <c r="H319" s="8">
        <f>Source!AV143</f>
        <v>1</v>
      </c>
      <c r="I319" s="8">
        <f>IF(Source!BB143&lt;&gt; 0, Source!BB143, 1)</f>
        <v>1</v>
      </c>
      <c r="J319" s="22">
        <f>Source!Q143</f>
        <v>1334.37</v>
      </c>
      <c r="K319" s="22"/>
    </row>
    <row r="320" spans="1:22" ht="14.5" x14ac:dyDescent="0.35">
      <c r="A320" s="19"/>
      <c r="B320" s="19"/>
      <c r="C320" s="19" t="s">
        <v>342</v>
      </c>
      <c r="D320" s="20"/>
      <c r="E320" s="8"/>
      <c r="F320" s="22">
        <f>Source!AN143</f>
        <v>0.04</v>
      </c>
      <c r="G320" s="21" t="str">
        <f>Source!DF143</f>
        <v>)*2</v>
      </c>
      <c r="H320" s="8">
        <f>Source!AV143</f>
        <v>1</v>
      </c>
      <c r="I320" s="8">
        <f>IF(Source!BS143&lt;&gt; 0, Source!BS143, 1)</f>
        <v>1</v>
      </c>
      <c r="J320" s="24">
        <f>Source!R143</f>
        <v>2.71</v>
      </c>
      <c r="K320" s="22"/>
    </row>
    <row r="321" spans="1:22" ht="14.5" x14ac:dyDescent="0.35">
      <c r="A321" s="19"/>
      <c r="B321" s="19"/>
      <c r="C321" s="19" t="s">
        <v>350</v>
      </c>
      <c r="D321" s="20"/>
      <c r="E321" s="8"/>
      <c r="F321" s="22">
        <f>Source!AL143</f>
        <v>0.55000000000000004</v>
      </c>
      <c r="G321" s="21" t="str">
        <f>Source!DD143</f>
        <v>)*2</v>
      </c>
      <c r="H321" s="8">
        <f>Source!AW143</f>
        <v>1</v>
      </c>
      <c r="I321" s="8">
        <f>IF(Source!BC143&lt;&gt; 0, Source!BC143, 1)</f>
        <v>1</v>
      </c>
      <c r="J321" s="22">
        <f>Source!P143</f>
        <v>37.24</v>
      </c>
      <c r="K321" s="22"/>
    </row>
    <row r="322" spans="1:22" ht="56" x14ac:dyDescent="0.35">
      <c r="A322" s="19" t="s">
        <v>236</v>
      </c>
      <c r="B322" s="19" t="str">
        <f>Source!F144</f>
        <v>21.4-4-31</v>
      </c>
      <c r="C322" s="19" t="str">
        <f>Source!G144</f>
        <v>Удобрение - биостимулятор, органическое жидкое, антистрессовое, для некорневой подкормки, типа Текамин Макс (N 7%)</v>
      </c>
      <c r="D322" s="20" t="str">
        <f>Source!H144</f>
        <v>л</v>
      </c>
      <c r="E322" s="8">
        <f>Source!I144</f>
        <v>6.77</v>
      </c>
      <c r="F322" s="22">
        <f>Source!AK144</f>
        <v>947.97</v>
      </c>
      <c r="G322" s="29" t="s">
        <v>355</v>
      </c>
      <c r="H322" s="8">
        <f>Source!AW144</f>
        <v>1</v>
      </c>
      <c r="I322" s="8">
        <f>IF(Source!BC144&lt;&gt; 0, Source!BC144, 1)</f>
        <v>1</v>
      </c>
      <c r="J322" s="22">
        <f>Source!O144</f>
        <v>6417.76</v>
      </c>
      <c r="K322" s="22"/>
      <c r="Q322">
        <f>ROUND((Source!BZ144/100)*ROUND((Source!AF144*Source!AV144)*Source!I144, 2), 2)</f>
        <v>0</v>
      </c>
      <c r="R322">
        <f>Source!X144</f>
        <v>0</v>
      </c>
      <c r="S322">
        <f>ROUND((Source!CA144/100)*ROUND((Source!AF144*Source!AV144)*Source!I144, 2), 2)</f>
        <v>0</v>
      </c>
      <c r="T322">
        <f>Source!Y144</f>
        <v>0</v>
      </c>
      <c r="U322">
        <f>ROUND((175/100)*ROUND((Source!AE144*Source!AV144)*Source!I144, 2), 2)</f>
        <v>0</v>
      </c>
      <c r="V322">
        <f>ROUND((108/100)*ROUND(Source!CS144*Source!I144, 2), 2)</f>
        <v>0</v>
      </c>
    </row>
    <row r="323" spans="1:22" ht="14.5" x14ac:dyDescent="0.35">
      <c r="A323" s="19"/>
      <c r="B323" s="19"/>
      <c r="C323" s="19" t="s">
        <v>346</v>
      </c>
      <c r="D323" s="20" t="s">
        <v>344</v>
      </c>
      <c r="E323" s="8">
        <f>Source!AT143</f>
        <v>70</v>
      </c>
      <c r="F323" s="22"/>
      <c r="G323" s="21"/>
      <c r="H323" s="8"/>
      <c r="I323" s="8"/>
      <c r="J323" s="22">
        <f>SUM(R316:R322)</f>
        <v>5618.09</v>
      </c>
      <c r="K323" s="22"/>
    </row>
    <row r="324" spans="1:22" ht="14.5" x14ac:dyDescent="0.35">
      <c r="A324" s="19"/>
      <c r="B324" s="19"/>
      <c r="C324" s="19" t="s">
        <v>347</v>
      </c>
      <c r="D324" s="20" t="s">
        <v>344</v>
      </c>
      <c r="E324" s="8">
        <f>Source!AU143</f>
        <v>10</v>
      </c>
      <c r="F324" s="22"/>
      <c r="G324" s="21"/>
      <c r="H324" s="8"/>
      <c r="I324" s="8"/>
      <c r="J324" s="22">
        <f>SUM(T316:T323)</f>
        <v>802.58</v>
      </c>
      <c r="K324" s="22"/>
    </row>
    <row r="325" spans="1:22" ht="14.5" x14ac:dyDescent="0.35">
      <c r="A325" s="19"/>
      <c r="B325" s="19"/>
      <c r="C325" s="19" t="s">
        <v>343</v>
      </c>
      <c r="D325" s="20" t="s">
        <v>344</v>
      </c>
      <c r="E325" s="8">
        <f>108</f>
        <v>108</v>
      </c>
      <c r="F325" s="22"/>
      <c r="G325" s="21"/>
      <c r="H325" s="8"/>
      <c r="I325" s="8"/>
      <c r="J325" s="22">
        <f>SUM(V316:V324)</f>
        <v>2.93</v>
      </c>
      <c r="K325" s="22"/>
    </row>
    <row r="326" spans="1:22" ht="14.5" x14ac:dyDescent="0.35">
      <c r="A326" s="19"/>
      <c r="B326" s="19"/>
      <c r="C326" s="19" t="s">
        <v>348</v>
      </c>
      <c r="D326" s="20" t="s">
        <v>349</v>
      </c>
      <c r="E326" s="8">
        <f>Source!AQ143</f>
        <v>0.18</v>
      </c>
      <c r="F326" s="22"/>
      <c r="G326" s="21" t="str">
        <f>Source!DI143</f>
        <v>)*2</v>
      </c>
      <c r="H326" s="8">
        <f>Source!AV143</f>
        <v>1</v>
      </c>
      <c r="I326" s="8"/>
      <c r="J326" s="22"/>
      <c r="K326" s="22">
        <f>Source!U143</f>
        <v>12.186</v>
      </c>
    </row>
    <row r="327" spans="1:22" ht="14" x14ac:dyDescent="0.3">
      <c r="A327" s="27"/>
      <c r="B327" s="27"/>
      <c r="C327" s="27"/>
      <c r="D327" s="27"/>
      <c r="E327" s="27"/>
      <c r="F327" s="27"/>
      <c r="G327" s="27"/>
      <c r="H327" s="27"/>
      <c r="I327" s="45">
        <f>J318+J319+J321+J323+J324+J325+SUM(J322:J322)</f>
        <v>22238.809999999998</v>
      </c>
      <c r="J327" s="45"/>
      <c r="K327" s="28">
        <f>IF(Source!I143&lt;&gt;0, ROUND(I327/Source!I143, 2), 0)</f>
        <v>656.98</v>
      </c>
      <c r="P327" s="25">
        <f>I327</f>
        <v>22238.809999999998</v>
      </c>
    </row>
    <row r="328" spans="1:22" ht="42" x14ac:dyDescent="0.35">
      <c r="A328" s="19">
        <v>36</v>
      </c>
      <c r="B328" s="19" t="str">
        <f>Source!F145</f>
        <v>5.4-3405-19-1/1</v>
      </c>
      <c r="C328" s="19" t="str">
        <f>Source!G145</f>
        <v>Обрезка стеблей отцветших цветочных растений и относ их за пределы цветника</v>
      </c>
      <c r="D328" s="20" t="str">
        <f>Source!H145</f>
        <v>100 м2</v>
      </c>
      <c r="E328" s="8">
        <f>Source!I145</f>
        <v>33.85</v>
      </c>
      <c r="F328" s="22"/>
      <c r="G328" s="21"/>
      <c r="H328" s="8"/>
      <c r="I328" s="8"/>
      <c r="J328" s="22"/>
      <c r="K328" s="22"/>
      <c r="Q328">
        <f>ROUND((Source!BZ145/100)*ROUND((Source!AF145*Source!AV145)*Source!I145, 2), 2)</f>
        <v>51162.01</v>
      </c>
      <c r="R328">
        <f>Source!X145</f>
        <v>51162.01</v>
      </c>
      <c r="S328">
        <f>ROUND((Source!CA145/100)*ROUND((Source!AF145*Source!AV145)*Source!I145, 2), 2)</f>
        <v>7308.86</v>
      </c>
      <c r="T328">
        <f>Source!Y145</f>
        <v>7308.86</v>
      </c>
      <c r="U328">
        <f>ROUND((175/100)*ROUND((Source!AE145*Source!AV145)*Source!I145, 2), 2)</f>
        <v>0</v>
      </c>
      <c r="V328">
        <f>ROUND((108/100)*ROUND(Source!CS145*Source!I145, 2), 2)</f>
        <v>0</v>
      </c>
    </row>
    <row r="329" spans="1:22" x14ac:dyDescent="0.25">
      <c r="C329" s="23" t="str">
        <f>"Объем: "&amp;Source!I145&amp;"=3385/"&amp;"100"</f>
        <v>Объем: 33,85=3385/100</v>
      </c>
    </row>
    <row r="330" spans="1:22" ht="14.5" x14ac:dyDescent="0.35">
      <c r="A330" s="19"/>
      <c r="B330" s="19"/>
      <c r="C330" s="19" t="s">
        <v>345</v>
      </c>
      <c r="D330" s="20"/>
      <c r="E330" s="8"/>
      <c r="F330" s="22">
        <f>Source!AO145</f>
        <v>719.73</v>
      </c>
      <c r="G330" s="21" t="str">
        <f>Source!DG145</f>
        <v>)*3</v>
      </c>
      <c r="H330" s="8">
        <f>Source!AV145</f>
        <v>1</v>
      </c>
      <c r="I330" s="8">
        <f>IF(Source!BA145&lt;&gt; 0, Source!BA145, 1)</f>
        <v>1</v>
      </c>
      <c r="J330" s="22">
        <f>Source!S145</f>
        <v>73088.58</v>
      </c>
      <c r="K330" s="22"/>
    </row>
    <row r="331" spans="1:22" ht="14.5" x14ac:dyDescent="0.35">
      <c r="A331" s="19"/>
      <c r="B331" s="19"/>
      <c r="C331" s="19" t="s">
        <v>346</v>
      </c>
      <c r="D331" s="20" t="s">
        <v>344</v>
      </c>
      <c r="E331" s="8">
        <f>Source!AT145</f>
        <v>70</v>
      </c>
      <c r="F331" s="22"/>
      <c r="G331" s="21"/>
      <c r="H331" s="8"/>
      <c r="I331" s="8"/>
      <c r="J331" s="22">
        <f>SUM(R328:R330)</f>
        <v>51162.01</v>
      </c>
      <c r="K331" s="22"/>
    </row>
    <row r="332" spans="1:22" ht="14.5" x14ac:dyDescent="0.35">
      <c r="A332" s="19"/>
      <c r="B332" s="19"/>
      <c r="C332" s="19" t="s">
        <v>347</v>
      </c>
      <c r="D332" s="20" t="s">
        <v>344</v>
      </c>
      <c r="E332" s="8">
        <f>Source!AU145</f>
        <v>10</v>
      </c>
      <c r="F332" s="22"/>
      <c r="G332" s="21"/>
      <c r="H332" s="8"/>
      <c r="I332" s="8"/>
      <c r="J332" s="22">
        <f>SUM(T328:T331)</f>
        <v>7308.86</v>
      </c>
      <c r="K332" s="22"/>
    </row>
    <row r="333" spans="1:22" ht="14.5" x14ac:dyDescent="0.35">
      <c r="A333" s="19"/>
      <c r="B333" s="19"/>
      <c r="C333" s="19" t="s">
        <v>348</v>
      </c>
      <c r="D333" s="20" t="s">
        <v>349</v>
      </c>
      <c r="E333" s="8">
        <f>Source!AQ145</f>
        <v>1.42</v>
      </c>
      <c r="F333" s="22"/>
      <c r="G333" s="21" t="str">
        <f>Source!DI145</f>
        <v>)*3</v>
      </c>
      <c r="H333" s="8">
        <f>Source!AV145</f>
        <v>1</v>
      </c>
      <c r="I333" s="8"/>
      <c r="J333" s="22"/>
      <c r="K333" s="22">
        <f>Source!U145</f>
        <v>144.20099999999999</v>
      </c>
    </row>
    <row r="334" spans="1:22" ht="14" x14ac:dyDescent="0.3">
      <c r="A334" s="27"/>
      <c r="B334" s="27"/>
      <c r="C334" s="27"/>
      <c r="D334" s="27"/>
      <c r="E334" s="27"/>
      <c r="F334" s="27"/>
      <c r="G334" s="27"/>
      <c r="H334" s="27"/>
      <c r="I334" s="45">
        <f>J330+J331+J332</f>
        <v>131559.44999999998</v>
      </c>
      <c r="J334" s="45"/>
      <c r="K334" s="28">
        <f>IF(Source!I145&lt;&gt;0, ROUND(I334/Source!I145, 2), 0)</f>
        <v>3886.54</v>
      </c>
      <c r="P334" s="25">
        <f>I334</f>
        <v>131559.44999999998</v>
      </c>
    </row>
    <row r="335" spans="1:22" ht="28" x14ac:dyDescent="0.35">
      <c r="A335" s="19">
        <v>37</v>
      </c>
      <c r="B335" s="19" t="str">
        <f>Source!F146</f>
        <v>5.4-3405-7-1/1</v>
      </c>
      <c r="C335" s="19" t="str">
        <f>Source!G146</f>
        <v>Полив зеленых насаждений из шланга поливомоечной машины (40 л на 1 м2)</v>
      </c>
      <c r="D335" s="20" t="str">
        <f>Source!H146</f>
        <v>м3</v>
      </c>
      <c r="E335" s="8">
        <f>Source!I146</f>
        <v>14.76</v>
      </c>
      <c r="F335" s="22"/>
      <c r="G335" s="21"/>
      <c r="H335" s="8"/>
      <c r="I335" s="8"/>
      <c r="J335" s="22"/>
      <c r="K335" s="22"/>
      <c r="Q335">
        <f>ROUND((Source!BZ146/100)*ROUND((Source!AF146*Source!AV146)*Source!I146, 2), 2)</f>
        <v>1884.46</v>
      </c>
      <c r="R335">
        <f>Source!X146</f>
        <v>1884.46</v>
      </c>
      <c r="S335">
        <f>ROUND((Source!CA146/100)*ROUND((Source!AF146*Source!AV146)*Source!I146, 2), 2)</f>
        <v>269.20999999999998</v>
      </c>
      <c r="T335">
        <f>Source!Y146</f>
        <v>269.20999999999998</v>
      </c>
      <c r="U335">
        <f>ROUND((175/100)*ROUND((Source!AE146*Source!AV146)*Source!I146, 2), 2)</f>
        <v>8019.18</v>
      </c>
      <c r="V335">
        <f>ROUND((108/100)*ROUND(Source!CS146*Source!I146, 2), 2)</f>
        <v>4948.9799999999996</v>
      </c>
    </row>
    <row r="336" spans="1:22" ht="14.5" x14ac:dyDescent="0.35">
      <c r="A336" s="19"/>
      <c r="B336" s="19"/>
      <c r="C336" s="19" t="s">
        <v>345</v>
      </c>
      <c r="D336" s="20"/>
      <c r="E336" s="8"/>
      <c r="F336" s="22">
        <f>Source!AO146</f>
        <v>182.39</v>
      </c>
      <c r="G336" s="21" t="str">
        <f>Source!DG146</f>
        <v/>
      </c>
      <c r="H336" s="8">
        <f>Source!AV146</f>
        <v>1</v>
      </c>
      <c r="I336" s="8">
        <f>IF(Source!BA146&lt;&gt; 0, Source!BA146, 1)</f>
        <v>1</v>
      </c>
      <c r="J336" s="22">
        <f>Source!S146</f>
        <v>2692.08</v>
      </c>
      <c r="K336" s="22"/>
    </row>
    <row r="337" spans="1:16" ht="14.5" x14ac:dyDescent="0.35">
      <c r="A337" s="19"/>
      <c r="B337" s="19"/>
      <c r="C337" s="19" t="s">
        <v>341</v>
      </c>
      <c r="D337" s="20"/>
      <c r="E337" s="8"/>
      <c r="F337" s="22">
        <f>Source!AM146</f>
        <v>899.27</v>
      </c>
      <c r="G337" s="21" t="str">
        <f>Source!DE146</f>
        <v/>
      </c>
      <c r="H337" s="8">
        <f>Source!AV146</f>
        <v>1</v>
      </c>
      <c r="I337" s="8">
        <f>IF(Source!BB146&lt;&gt; 0, Source!BB146, 1)</f>
        <v>1</v>
      </c>
      <c r="J337" s="22">
        <f>Source!Q146</f>
        <v>13273.23</v>
      </c>
      <c r="K337" s="22"/>
    </row>
    <row r="338" spans="1:16" ht="14.5" x14ac:dyDescent="0.35">
      <c r="A338" s="19"/>
      <c r="B338" s="19"/>
      <c r="C338" s="19" t="s">
        <v>342</v>
      </c>
      <c r="D338" s="20"/>
      <c r="E338" s="8"/>
      <c r="F338" s="22">
        <f>Source!AN146</f>
        <v>310.45999999999998</v>
      </c>
      <c r="G338" s="21" t="str">
        <f>Source!DF146</f>
        <v/>
      </c>
      <c r="H338" s="8">
        <f>Source!AV146</f>
        <v>1</v>
      </c>
      <c r="I338" s="8">
        <f>IF(Source!BS146&lt;&gt; 0, Source!BS146, 1)</f>
        <v>1</v>
      </c>
      <c r="J338" s="24">
        <f>Source!R146</f>
        <v>4582.3900000000003</v>
      </c>
      <c r="K338" s="22"/>
    </row>
    <row r="339" spans="1:16" ht="14.5" x14ac:dyDescent="0.35">
      <c r="A339" s="19"/>
      <c r="B339" s="19"/>
      <c r="C339" s="19" t="s">
        <v>350</v>
      </c>
      <c r="D339" s="20"/>
      <c r="E339" s="8"/>
      <c r="F339" s="22">
        <f>Source!AL146</f>
        <v>54.81</v>
      </c>
      <c r="G339" s="21" t="str">
        <f>Source!DD146</f>
        <v/>
      </c>
      <c r="H339" s="8">
        <f>Source!AW146</f>
        <v>1</v>
      </c>
      <c r="I339" s="8">
        <f>IF(Source!BC146&lt;&gt; 0, Source!BC146, 1)</f>
        <v>1</v>
      </c>
      <c r="J339" s="22">
        <f>Source!P146</f>
        <v>809</v>
      </c>
      <c r="K339" s="22"/>
    </row>
    <row r="340" spans="1:16" ht="14.5" x14ac:dyDescent="0.35">
      <c r="A340" s="19"/>
      <c r="B340" s="19"/>
      <c r="C340" s="19" t="s">
        <v>346</v>
      </c>
      <c r="D340" s="20" t="s">
        <v>344</v>
      </c>
      <c r="E340" s="8">
        <f>Source!AT146</f>
        <v>70</v>
      </c>
      <c r="F340" s="22"/>
      <c r="G340" s="21"/>
      <c r="H340" s="8"/>
      <c r="I340" s="8"/>
      <c r="J340" s="22">
        <f>SUM(R335:R339)</f>
        <v>1884.46</v>
      </c>
      <c r="K340" s="22"/>
    </row>
    <row r="341" spans="1:16" ht="14.5" x14ac:dyDescent="0.35">
      <c r="A341" s="19"/>
      <c r="B341" s="19"/>
      <c r="C341" s="19" t="s">
        <v>347</v>
      </c>
      <c r="D341" s="20" t="s">
        <v>344</v>
      </c>
      <c r="E341" s="8">
        <f>Source!AU146</f>
        <v>10</v>
      </c>
      <c r="F341" s="22"/>
      <c r="G341" s="21"/>
      <c r="H341" s="8"/>
      <c r="I341" s="8"/>
      <c r="J341" s="22">
        <f>SUM(T335:T340)</f>
        <v>269.20999999999998</v>
      </c>
      <c r="K341" s="22"/>
    </row>
    <row r="342" spans="1:16" ht="14.5" x14ac:dyDescent="0.35">
      <c r="A342" s="19"/>
      <c r="B342" s="19"/>
      <c r="C342" s="19" t="s">
        <v>343</v>
      </c>
      <c r="D342" s="20" t="s">
        <v>344</v>
      </c>
      <c r="E342" s="8">
        <f>108</f>
        <v>108</v>
      </c>
      <c r="F342" s="22"/>
      <c r="G342" s="21"/>
      <c r="H342" s="8"/>
      <c r="I342" s="8"/>
      <c r="J342" s="22">
        <f>SUM(V335:V341)</f>
        <v>4948.9799999999996</v>
      </c>
      <c r="K342" s="22"/>
    </row>
    <row r="343" spans="1:16" ht="14.5" x14ac:dyDescent="0.35">
      <c r="A343" s="19"/>
      <c r="B343" s="19"/>
      <c r="C343" s="19" t="s">
        <v>348</v>
      </c>
      <c r="D343" s="20" t="s">
        <v>349</v>
      </c>
      <c r="E343" s="8">
        <f>Source!AQ146</f>
        <v>0.56000000000000005</v>
      </c>
      <c r="F343" s="22"/>
      <c r="G343" s="21" t="str">
        <f>Source!DI146</f>
        <v/>
      </c>
      <c r="H343" s="8">
        <f>Source!AV146</f>
        <v>1</v>
      </c>
      <c r="I343" s="8"/>
      <c r="J343" s="22"/>
      <c r="K343" s="22">
        <f>Source!U146</f>
        <v>8.2656000000000009</v>
      </c>
    </row>
    <row r="344" spans="1:16" ht="14" x14ac:dyDescent="0.3">
      <c r="A344" s="27"/>
      <c r="B344" s="27"/>
      <c r="C344" s="27"/>
      <c r="D344" s="27"/>
      <c r="E344" s="27"/>
      <c r="F344" s="27"/>
      <c r="G344" s="27"/>
      <c r="H344" s="27"/>
      <c r="I344" s="45">
        <f>J336+J337+J339+J340+J341+J342</f>
        <v>23876.959999999995</v>
      </c>
      <c r="J344" s="45"/>
      <c r="K344" s="28">
        <f>IF(Source!I146&lt;&gt;0, ROUND(I344/Source!I146, 2), 0)</f>
        <v>1617.68</v>
      </c>
      <c r="P344" s="25">
        <f>I344</f>
        <v>23876.959999999995</v>
      </c>
    </row>
    <row r="346" spans="1:16" ht="14" x14ac:dyDescent="0.3">
      <c r="A346" s="44" t="str">
        <f>CONCATENATE("Итого по подразделу: ",IF(Source!G148&lt;&gt;"Новый подраздел", Source!G148, ""))</f>
        <v xml:space="preserve">Итого по подразделу: Подраздел: УХОД ЗА ЗЕЛЕНЫМИ НАСАЖДЕНИЯМИ </v>
      </c>
      <c r="B346" s="44"/>
      <c r="C346" s="44"/>
      <c r="D346" s="44"/>
      <c r="E346" s="44"/>
      <c r="F346" s="44"/>
      <c r="G346" s="44"/>
      <c r="H346" s="44"/>
      <c r="I346" s="42">
        <f>SUM(P217:P345)</f>
        <v>44242335.210000016</v>
      </c>
      <c r="J346" s="43"/>
      <c r="K346" s="30"/>
    </row>
    <row r="349" spans="1:16" ht="14" x14ac:dyDescent="0.3">
      <c r="A349" s="44" t="str">
        <f>CONCATENATE("Итого по разделу: ",IF(Source!G178&lt;&gt;"Новый раздел", Source!G178, ""))</f>
        <v>Итого по разделу: Раздел: Основная зона</v>
      </c>
      <c r="B349" s="44"/>
      <c r="C349" s="44"/>
      <c r="D349" s="44"/>
      <c r="E349" s="44"/>
      <c r="F349" s="44"/>
      <c r="G349" s="44"/>
      <c r="H349" s="44"/>
      <c r="I349" s="42">
        <f>SUM(P35:P348)</f>
        <v>172260623</v>
      </c>
      <c r="J349" s="43"/>
      <c r="K349" s="30"/>
    </row>
    <row r="352" spans="1:16" ht="14" x14ac:dyDescent="0.3">
      <c r="A352" s="44" t="str">
        <f>CONCATENATE("Итого по локальной смете: ",IF(Source!G208&lt;&gt;"Новая локальная смета", Source!G208, ""))</f>
        <v>Итого по локальной смете: Локальная смета: Зона №3</v>
      </c>
      <c r="B352" s="44"/>
      <c r="C352" s="44"/>
      <c r="D352" s="44"/>
      <c r="E352" s="44"/>
      <c r="F352" s="44"/>
      <c r="G352" s="44"/>
      <c r="H352" s="44"/>
      <c r="I352" s="42">
        <f>SUM(P33:P351)</f>
        <v>172260623</v>
      </c>
      <c r="J352" s="43"/>
      <c r="K352" s="30"/>
    </row>
    <row r="354" spans="1:11" ht="14" x14ac:dyDescent="0.3">
      <c r="C354" s="38" t="str">
        <f>Source!H237</f>
        <v>НДС 22%</v>
      </c>
      <c r="D354" s="38"/>
      <c r="E354" s="38"/>
      <c r="F354" s="38"/>
      <c r="G354" s="38"/>
      <c r="H354" s="38"/>
      <c r="I354" s="39">
        <f>IF(Source!F237=0, "", Source!F237)</f>
        <v>37897337.060000002</v>
      </c>
      <c r="J354" s="39"/>
    </row>
    <row r="355" spans="1:11" ht="14" x14ac:dyDescent="0.3">
      <c r="C355" s="38" t="str">
        <f>Source!H238</f>
        <v>Итого с НДС</v>
      </c>
      <c r="D355" s="38"/>
      <c r="E355" s="38"/>
      <c r="F355" s="38"/>
      <c r="G355" s="38"/>
      <c r="H355" s="38"/>
      <c r="I355" s="39">
        <f>IF(Source!F238=0, "", Source!F238)</f>
        <v>206712747.59999999</v>
      </c>
      <c r="J355" s="39"/>
    </row>
    <row r="357" spans="1:11" ht="14" x14ac:dyDescent="0.3">
      <c r="A357" s="44" t="str">
        <f>CONCATENATE("Итого по смете: ",IF(Source!G240&lt;&gt;"Новый объект", Source!G240, ""))</f>
        <v>Итого по смете: Зона 3</v>
      </c>
      <c r="B357" s="44"/>
      <c r="C357" s="44"/>
      <c r="D357" s="44"/>
      <c r="E357" s="44"/>
      <c r="F357" s="44"/>
      <c r="G357" s="44"/>
      <c r="H357" s="44"/>
      <c r="I357" s="42">
        <f>SUM(P1:P356)</f>
        <v>172260623</v>
      </c>
      <c r="J357" s="43"/>
      <c r="K357" s="30"/>
    </row>
    <row r="358" spans="1:11" ht="14" x14ac:dyDescent="0.3">
      <c r="C358" s="38" t="str">
        <f>Source!H269</f>
        <v>Итого</v>
      </c>
      <c r="D358" s="38"/>
      <c r="E358" s="38"/>
      <c r="F358" s="38"/>
      <c r="G358" s="38"/>
      <c r="H358" s="38"/>
      <c r="I358" s="39">
        <f>IF(Source!F269=0, "", Source!F269)</f>
        <v>172260623</v>
      </c>
      <c r="J358" s="39"/>
    </row>
    <row r="359" spans="1:11" ht="14" x14ac:dyDescent="0.3">
      <c r="C359" s="38" t="str">
        <f>Source!H270</f>
        <v>НДС 22%</v>
      </c>
      <c r="D359" s="38"/>
      <c r="E359" s="38"/>
      <c r="F359" s="38"/>
      <c r="G359" s="38"/>
      <c r="H359" s="38"/>
      <c r="I359" s="39">
        <f>IF(Source!F270=0, "", Source!F270)</f>
        <v>37897337.060000002</v>
      </c>
      <c r="J359" s="39"/>
    </row>
    <row r="360" spans="1:11" ht="14" x14ac:dyDescent="0.3">
      <c r="C360" s="38" t="str">
        <f>Source!H271</f>
        <v>Всего</v>
      </c>
      <c r="D360" s="38"/>
      <c r="E360" s="38"/>
      <c r="F360" s="38"/>
      <c r="G360" s="38"/>
      <c r="H360" s="38"/>
      <c r="I360" s="39">
        <f>IF(Source!F271=0, "", Source!F271)</f>
        <v>210157960.06</v>
      </c>
      <c r="J360" s="39"/>
    </row>
    <row r="363" spans="1:11" ht="14" x14ac:dyDescent="0.3">
      <c r="A363" s="40" t="s">
        <v>356</v>
      </c>
      <c r="B363" s="40"/>
      <c r="C363" s="32" t="str">
        <f>IF(Source!AC12&lt;&gt;"", Source!AC12," ")</f>
        <v xml:space="preserve"> </v>
      </c>
      <c r="D363" s="32"/>
      <c r="E363" s="32"/>
      <c r="F363" s="32"/>
      <c r="G363" s="32"/>
      <c r="H363" s="9" t="str">
        <f>IF(Source!AB12&lt;&gt;"", Source!AB12," ")</f>
        <v xml:space="preserve"> </v>
      </c>
      <c r="I363" s="9"/>
      <c r="J363" s="9"/>
      <c r="K363" s="9"/>
    </row>
    <row r="364" spans="1:11" ht="14" x14ac:dyDescent="0.3">
      <c r="A364" s="9"/>
      <c r="B364" s="9"/>
      <c r="C364" s="41" t="s">
        <v>357</v>
      </c>
      <c r="D364" s="41"/>
      <c r="E364" s="41"/>
      <c r="F364" s="41"/>
      <c r="G364" s="41"/>
      <c r="H364" s="9"/>
      <c r="I364" s="9"/>
      <c r="J364" s="9"/>
      <c r="K364" s="9"/>
    </row>
    <row r="365" spans="1:11" ht="14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</row>
    <row r="366" spans="1:11" ht="14" x14ac:dyDescent="0.3">
      <c r="A366" s="40" t="s">
        <v>358</v>
      </c>
      <c r="B366" s="40"/>
      <c r="C366" s="32" t="str">
        <f>IF(Source!AE12&lt;&gt;"", Source!AE12," ")</f>
        <v xml:space="preserve"> </v>
      </c>
      <c r="D366" s="32"/>
      <c r="E366" s="32"/>
      <c r="F366" s="32"/>
      <c r="G366" s="32"/>
      <c r="H366" s="9" t="str">
        <f>IF(Source!AD12&lt;&gt;"", Source!AD12," ")</f>
        <v xml:space="preserve"> </v>
      </c>
      <c r="I366" s="9"/>
      <c r="J366" s="9"/>
      <c r="K366" s="9"/>
    </row>
    <row r="367" spans="1:11" ht="14" x14ac:dyDescent="0.3">
      <c r="A367" s="9"/>
      <c r="B367" s="9"/>
      <c r="C367" s="41" t="s">
        <v>357</v>
      </c>
      <c r="D367" s="41"/>
      <c r="E367" s="41"/>
      <c r="F367" s="41"/>
      <c r="G367" s="41"/>
      <c r="H367" s="9"/>
      <c r="I367" s="9"/>
      <c r="J367" s="9"/>
      <c r="K367" s="9"/>
    </row>
  </sheetData>
  <mergeCells count="106"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F22:H22"/>
    <mergeCell ref="I22:J22"/>
    <mergeCell ref="F23:H23"/>
    <mergeCell ref="I23:J23"/>
    <mergeCell ref="F24:H24"/>
    <mergeCell ref="I24:J24"/>
    <mergeCell ref="A14:K14"/>
    <mergeCell ref="A16:K16"/>
    <mergeCell ref="A17:K17"/>
    <mergeCell ref="A19:K19"/>
    <mergeCell ref="F21:H21"/>
    <mergeCell ref="I21:J21"/>
    <mergeCell ref="F25:H25"/>
    <mergeCell ref="I25:J25"/>
    <mergeCell ref="F26:H26"/>
    <mergeCell ref="I26:J26"/>
    <mergeCell ref="A28:A30"/>
    <mergeCell ref="B28:B30"/>
    <mergeCell ref="C28:C30"/>
    <mergeCell ref="D28:D30"/>
    <mergeCell ref="E28:E30"/>
    <mergeCell ref="F28:F30"/>
    <mergeCell ref="A37:K37"/>
    <mergeCell ref="I43:J43"/>
    <mergeCell ref="I50:J50"/>
    <mergeCell ref="I58:J58"/>
    <mergeCell ref="I65:J65"/>
    <mergeCell ref="I76:J76"/>
    <mergeCell ref="G28:G30"/>
    <mergeCell ref="H28:H30"/>
    <mergeCell ref="I28:I30"/>
    <mergeCell ref="J28:J30"/>
    <mergeCell ref="A33:K33"/>
    <mergeCell ref="A35:K35"/>
    <mergeCell ref="I125:J125"/>
    <mergeCell ref="I132:J132"/>
    <mergeCell ref="I138:J138"/>
    <mergeCell ref="I144:J144"/>
    <mergeCell ref="I146:J146"/>
    <mergeCell ref="A146:H146"/>
    <mergeCell ref="I84:J84"/>
    <mergeCell ref="I91:J91"/>
    <mergeCell ref="I100:J100"/>
    <mergeCell ref="I105:J105"/>
    <mergeCell ref="I112:J112"/>
    <mergeCell ref="I119:J119"/>
    <mergeCell ref="I194:J194"/>
    <mergeCell ref="I200:J200"/>
    <mergeCell ref="I212:J212"/>
    <mergeCell ref="I214:J214"/>
    <mergeCell ref="A214:H214"/>
    <mergeCell ref="A217:K217"/>
    <mergeCell ref="A149:K149"/>
    <mergeCell ref="I157:J157"/>
    <mergeCell ref="I164:J164"/>
    <mergeCell ref="I172:J172"/>
    <mergeCell ref="I180:J180"/>
    <mergeCell ref="I187:J187"/>
    <mergeCell ref="I281:J281"/>
    <mergeCell ref="I291:J291"/>
    <mergeCell ref="I299:J299"/>
    <mergeCell ref="I309:J309"/>
    <mergeCell ref="I315:J315"/>
    <mergeCell ref="I327:J327"/>
    <mergeCell ref="I227:J227"/>
    <mergeCell ref="I234:J234"/>
    <mergeCell ref="I244:J244"/>
    <mergeCell ref="I252:J252"/>
    <mergeCell ref="I262:J262"/>
    <mergeCell ref="I273:J273"/>
    <mergeCell ref="I352:J352"/>
    <mergeCell ref="A352:H352"/>
    <mergeCell ref="C354:H354"/>
    <mergeCell ref="I354:J354"/>
    <mergeCell ref="C355:H355"/>
    <mergeCell ref="I355:J355"/>
    <mergeCell ref="I334:J334"/>
    <mergeCell ref="I344:J344"/>
    <mergeCell ref="I346:J346"/>
    <mergeCell ref="A346:H346"/>
    <mergeCell ref="I349:J349"/>
    <mergeCell ref="A349:H349"/>
    <mergeCell ref="C360:H360"/>
    <mergeCell ref="I360:J360"/>
    <mergeCell ref="A363:B363"/>
    <mergeCell ref="C364:G364"/>
    <mergeCell ref="A366:B366"/>
    <mergeCell ref="C367:G367"/>
    <mergeCell ref="I357:J357"/>
    <mergeCell ref="A357:H357"/>
    <mergeCell ref="C358:H358"/>
    <mergeCell ref="I358:J358"/>
    <mergeCell ref="C359:H359"/>
    <mergeCell ref="I359:J359"/>
  </mergeCells>
  <pageMargins left="0.4" right="0.2" top="0.2" bottom="0.4" header="0.2" footer="0.2"/>
  <pageSetup paperSize="9" scale="64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3A1C8-80B1-4651-B248-2C21AEE78111}">
  <sheetPr>
    <pageSetUpPr fitToPage="1"/>
  </sheetPr>
  <dimension ref="A1:F71"/>
  <sheetViews>
    <sheetView zoomScaleNormal="100" workbookViewId="0"/>
  </sheetViews>
  <sheetFormatPr defaultRowHeight="12.5" x14ac:dyDescent="0.25"/>
  <cols>
    <col min="1" max="2" width="6.54296875" customWidth="1"/>
    <col min="3" max="3" width="75.54296875" customWidth="1"/>
    <col min="4" max="6" width="15.5429687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6" t="s">
        <v>314</v>
      </c>
    </row>
    <row r="4" spans="1:6" ht="14" x14ac:dyDescent="0.3">
      <c r="D4" s="26"/>
      <c r="E4" s="26"/>
    </row>
    <row r="5" spans="1:6" ht="14" x14ac:dyDescent="0.3">
      <c r="D5" s="43" t="s">
        <v>359</v>
      </c>
      <c r="E5" s="43"/>
    </row>
    <row r="6" spans="1:6" ht="14" x14ac:dyDescent="0.3">
      <c r="D6" s="26"/>
      <c r="E6" s="26"/>
    </row>
    <row r="7" spans="1:6" ht="14" x14ac:dyDescent="0.3">
      <c r="D7" s="43" t="s">
        <v>359</v>
      </c>
      <c r="E7" s="43"/>
    </row>
    <row r="8" spans="1:6" ht="14" x14ac:dyDescent="0.3">
      <c r="D8" s="26"/>
      <c r="E8" s="26"/>
    </row>
    <row r="9" spans="1:6" ht="14" x14ac:dyDescent="0.3">
      <c r="D9" s="26" t="s">
        <v>360</v>
      </c>
      <c r="E9" s="9"/>
    </row>
    <row r="10" spans="1:6" ht="14" x14ac:dyDescent="0.3">
      <c r="D10" s="9"/>
      <c r="E10" s="9"/>
    </row>
    <row r="12" spans="1:6" ht="15.5" x14ac:dyDescent="0.25">
      <c r="B12" s="58" t="str">
        <f>CONCATENATE("Ведомость объемов работ ", IF(Source!AN15&lt;&gt;"", Source!AN15," "))</f>
        <v xml:space="preserve">Ведомость объемов работ  </v>
      </c>
      <c r="C12" s="58"/>
      <c r="D12" s="58"/>
      <c r="E12" s="58"/>
    </row>
    <row r="13" spans="1:6" ht="14" x14ac:dyDescent="0.25">
      <c r="B13" s="59" t="str">
        <f>Source!G12</f>
        <v>Зона 3</v>
      </c>
      <c r="C13" s="59"/>
      <c r="D13" s="59"/>
      <c r="E13" s="59"/>
    </row>
    <row r="14" spans="1:6" ht="14" x14ac:dyDescent="0.25">
      <c r="B14" s="59" t="str">
        <f>Source!G20</f>
        <v>Локальная смета: Зона №3</v>
      </c>
      <c r="C14" s="59"/>
      <c r="D14" s="59"/>
      <c r="E14" s="59"/>
    </row>
    <row r="16" spans="1:6" ht="28" x14ac:dyDescent="0.25">
      <c r="A16" s="16" t="s">
        <v>361</v>
      </c>
      <c r="B16" s="16" t="s">
        <v>362</v>
      </c>
      <c r="C16" s="16" t="s">
        <v>329</v>
      </c>
      <c r="D16" s="16" t="s">
        <v>330</v>
      </c>
      <c r="E16" s="16" t="s">
        <v>363</v>
      </c>
      <c r="F16" s="16" t="s">
        <v>364</v>
      </c>
    </row>
    <row r="17" spans="1:6" ht="14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ht="16.5" x14ac:dyDescent="0.35">
      <c r="A18" s="57" t="str">
        <f>CONCATENATE("Раздел: ", Source!G24)</f>
        <v>Раздел: Раздел: Основная зона</v>
      </c>
      <c r="B18" s="57"/>
      <c r="C18" s="57"/>
      <c r="D18" s="57"/>
      <c r="E18" s="57"/>
      <c r="F18" s="57"/>
    </row>
    <row r="19" spans="1:6" ht="16.5" x14ac:dyDescent="0.35">
      <c r="A19" s="57" t="str">
        <f>CONCATENATE("Подраздел: ", Source!G28)</f>
        <v xml:space="preserve">Подраздел: Подраздел: ЗИМНЯЯ УБОРКА </v>
      </c>
      <c r="B19" s="57"/>
      <c r="C19" s="57"/>
      <c r="D19" s="57"/>
      <c r="E19" s="57"/>
      <c r="F19" s="57"/>
    </row>
    <row r="20" spans="1:6" ht="14" x14ac:dyDescent="0.25">
      <c r="A20" s="16">
        <v>1</v>
      </c>
      <c r="B20" s="16" t="str">
        <f>Source!E32</f>
        <v>1</v>
      </c>
      <c r="C20" s="35" t="str">
        <f>Source!G32</f>
        <v>Уборка снега средствами малой механизации</v>
      </c>
      <c r="D20" s="16" t="s">
        <v>20</v>
      </c>
      <c r="E20" s="36">
        <f>Source!I32</f>
        <v>126.98520000000001</v>
      </c>
      <c r="F20" s="35"/>
    </row>
    <row r="21" spans="1:6" ht="14" x14ac:dyDescent="0.25">
      <c r="A21" s="16">
        <v>2</v>
      </c>
      <c r="B21" s="16" t="str">
        <f>Source!E33</f>
        <v>2</v>
      </c>
      <c r="C21" s="35" t="str">
        <f>Source!G33</f>
        <v>Уборка свежевыпавшего снега вручную толщиной слоя до 10 см</v>
      </c>
      <c r="D21" s="16" t="s">
        <v>29</v>
      </c>
      <c r="E21" s="36">
        <f>Source!I33</f>
        <v>317.46300000000002</v>
      </c>
      <c r="F21" s="35"/>
    </row>
    <row r="22" spans="1:6" ht="28" x14ac:dyDescent="0.25">
      <c r="A22" s="16">
        <v>3</v>
      </c>
      <c r="B22" s="16" t="str">
        <f>Source!E34</f>
        <v>3</v>
      </c>
      <c r="C22" s="35" t="str">
        <f>Source!G34</f>
        <v>Подметание тротуаров, придомовых и внутрибольничных проездов средствами малой механизации</v>
      </c>
      <c r="D22" s="16" t="s">
        <v>20</v>
      </c>
      <c r="E22" s="36">
        <f>Source!I34</f>
        <v>126.98520000000001</v>
      </c>
      <c r="F22" s="35"/>
    </row>
    <row r="23" spans="1:6" ht="14" x14ac:dyDescent="0.25">
      <c r="A23" s="16">
        <v>3.1</v>
      </c>
      <c r="B23" s="16" t="str">
        <f>Source!E35</f>
        <v>3,1</v>
      </c>
      <c r="C23" s="35" t="str">
        <f>Source!G35</f>
        <v>Вода</v>
      </c>
      <c r="D23" s="16" t="s">
        <v>39</v>
      </c>
      <c r="E23" s="36">
        <f>Source!I35</f>
        <v>-2819.0714400000002</v>
      </c>
      <c r="F23" s="35"/>
    </row>
    <row r="24" spans="1:6" ht="14" x14ac:dyDescent="0.25">
      <c r="A24" s="16">
        <v>4</v>
      </c>
      <c r="B24" s="16" t="str">
        <f>Source!E36</f>
        <v>4</v>
      </c>
      <c r="C24" s="35" t="str">
        <f>Source!G36</f>
        <v>Подметание вручную дорожек и площадок с твердым покрытием</v>
      </c>
      <c r="D24" s="16" t="s">
        <v>29</v>
      </c>
      <c r="E24" s="36">
        <f>Source!I36</f>
        <v>317.46300000000002</v>
      </c>
      <c r="F24" s="35"/>
    </row>
    <row r="25" spans="1:6" ht="28" x14ac:dyDescent="0.25">
      <c r="A25" s="16">
        <v>5</v>
      </c>
      <c r="B25" s="16" t="str">
        <f>Source!E37</f>
        <v>5</v>
      </c>
      <c r="C25" s="35" t="str">
        <f>Source!G37</f>
        <v>Посыпка противогололедными реагентами дорожных покрытий средствами малой механизации</v>
      </c>
      <c r="D25" s="16" t="s">
        <v>20</v>
      </c>
      <c r="E25" s="36">
        <f>Source!I37</f>
        <v>126.98520000000001</v>
      </c>
      <c r="F25" s="35"/>
    </row>
    <row r="26" spans="1:6" ht="28" x14ac:dyDescent="0.25">
      <c r="A26" s="16">
        <v>6</v>
      </c>
      <c r="B26" s="16" t="str">
        <f>Source!E38</f>
        <v>6</v>
      </c>
      <c r="C26" s="35" t="str">
        <f>Source!G38</f>
        <v>Посыпка противогололедными реагентами ХКНтв дорожных покрытий вручную</v>
      </c>
      <c r="D26" s="16" t="s">
        <v>29</v>
      </c>
      <c r="E26" s="36">
        <f>Source!I38</f>
        <v>317.46300000000002</v>
      </c>
      <c r="F26" s="35"/>
    </row>
    <row r="27" spans="1:6" ht="14" x14ac:dyDescent="0.25">
      <c r="A27" s="16">
        <v>7</v>
      </c>
      <c r="B27" s="16" t="str">
        <f>Source!E39</f>
        <v>7</v>
      </c>
      <c r="C27" s="35" t="str">
        <f>Source!G39</f>
        <v>Колка льда на обледеневших покрытиях вручную</v>
      </c>
      <c r="D27" s="16" t="s">
        <v>29</v>
      </c>
      <c r="E27" s="36">
        <f>Source!I39</f>
        <v>15.872999999999999</v>
      </c>
      <c r="F27" s="35"/>
    </row>
    <row r="28" spans="1:6" ht="42" x14ac:dyDescent="0.25">
      <c r="A28" s="16">
        <v>8</v>
      </c>
      <c r="B28" s="16" t="str">
        <f>Source!E40</f>
        <v>8</v>
      </c>
      <c r="C28" s="35" t="str">
        <f>Source!G40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28" s="16" t="s">
        <v>39</v>
      </c>
      <c r="E28" s="36">
        <f>Source!I40</f>
        <v>28571.67</v>
      </c>
      <c r="F28" s="35"/>
    </row>
    <row r="29" spans="1:6" ht="14" x14ac:dyDescent="0.25">
      <c r="A29" s="16">
        <v>9</v>
      </c>
      <c r="B29" s="16" t="str">
        <f>Source!E41</f>
        <v>9</v>
      </c>
      <c r="C29" s="35" t="str">
        <f>Source!G41</f>
        <v>Погрузка снега средствами малой механизации</v>
      </c>
      <c r="D29" s="16" t="s">
        <v>39</v>
      </c>
      <c r="E29" s="36">
        <f>Source!I41</f>
        <v>28571.67</v>
      </c>
      <c r="F29" s="35"/>
    </row>
    <row r="30" spans="1:6" ht="28" x14ac:dyDescent="0.25">
      <c r="A30" s="16">
        <v>10</v>
      </c>
      <c r="B30" s="16" t="str">
        <f>Source!E42</f>
        <v>10</v>
      </c>
      <c r="C30" s="35" t="str">
        <f>Source!G42</f>
        <v>Подметание вручную дорожек и площадок с грунтовым и щебеночным покрытием</v>
      </c>
      <c r="D30" s="16" t="s">
        <v>29</v>
      </c>
      <c r="E30" s="36">
        <f>Source!I42</f>
        <v>32.533999999999999</v>
      </c>
      <c r="F30" s="35"/>
    </row>
    <row r="31" spans="1:6" ht="42" x14ac:dyDescent="0.25">
      <c r="A31" s="16">
        <v>11</v>
      </c>
      <c r="B31" s="16" t="str">
        <f>Source!E43</f>
        <v>11</v>
      </c>
      <c r="C31" s="35" t="str">
        <f>Source!G43</f>
        <v>Уборка от снега деревянного настила - амфитеатра, тротуаров, лестниц, экотроп</v>
      </c>
      <c r="D31" s="16" t="s">
        <v>74</v>
      </c>
      <c r="E31" s="36">
        <f>Source!I43</f>
        <v>11.746</v>
      </c>
      <c r="F31" s="35"/>
    </row>
    <row r="32" spans="1:6" ht="28" x14ac:dyDescent="0.25">
      <c r="A32" s="16">
        <v>12</v>
      </c>
      <c r="B32" s="16" t="str">
        <f>Source!E44</f>
        <v>12</v>
      </c>
      <c r="C32" s="35" t="str">
        <f>Source!G44</f>
        <v>Очистка скамеек, садовых диванов, урн, цветочниц, боллардов от снега вручную</v>
      </c>
      <c r="D32" s="16" t="s">
        <v>29</v>
      </c>
      <c r="E32" s="36">
        <f>Source!I44</f>
        <v>0.8256</v>
      </c>
      <c r="F32" s="35"/>
    </row>
    <row r="33" spans="1:6" ht="28" x14ac:dyDescent="0.25">
      <c r="A33" s="16">
        <v>13</v>
      </c>
      <c r="B33" s="16" t="str">
        <f>Source!E45</f>
        <v>13</v>
      </c>
      <c r="C33" s="35" t="str">
        <f>Source!G45</f>
        <v>Уход за урнами на придомовых и внутрибольничных территориях, очистка урн опрокидывающихся от мусора</v>
      </c>
      <c r="D33" s="16" t="s">
        <v>83</v>
      </c>
      <c r="E33" s="36">
        <f>Source!I45</f>
        <v>0.5</v>
      </c>
      <c r="F33" s="35"/>
    </row>
    <row r="34" spans="1:6" ht="14" x14ac:dyDescent="0.25">
      <c r="A34" s="16">
        <v>14</v>
      </c>
      <c r="B34" s="16" t="str">
        <f>Source!E46</f>
        <v>14</v>
      </c>
      <c r="C34" s="35" t="str">
        <f>Source!G46</f>
        <v>Рыхление смерзшегося снега по краю газона</v>
      </c>
      <c r="D34" s="16" t="s">
        <v>39</v>
      </c>
      <c r="E34" s="36">
        <f>Source!I46</f>
        <v>4537.1400000000003</v>
      </c>
      <c r="F34" s="35"/>
    </row>
    <row r="35" spans="1:6" ht="14" x14ac:dyDescent="0.25">
      <c r="A35" s="16">
        <v>15</v>
      </c>
      <c r="B35" s="16" t="str">
        <f>Source!E47</f>
        <v>15</v>
      </c>
      <c r="C35" s="35" t="str">
        <f>Source!G47</f>
        <v>Очистка от снега и мусора контейнерной площадки вручную</v>
      </c>
      <c r="D35" s="16" t="s">
        <v>29</v>
      </c>
      <c r="E35" s="36">
        <f>Source!I47</f>
        <v>0.3</v>
      </c>
      <c r="F35" s="35"/>
    </row>
    <row r="36" spans="1:6" ht="16.5" x14ac:dyDescent="0.35">
      <c r="A36" s="57" t="str">
        <f>CONCATENATE("Подраздел: ", Source!G79)</f>
        <v xml:space="preserve">Подраздел: Подраздел: ЛЕТНЯЯ УБОРКА </v>
      </c>
      <c r="B36" s="57"/>
      <c r="C36" s="57"/>
      <c r="D36" s="57"/>
      <c r="E36" s="57"/>
      <c r="F36" s="57"/>
    </row>
    <row r="37" spans="1:6" ht="28" x14ac:dyDescent="0.25">
      <c r="A37" s="16">
        <v>16</v>
      </c>
      <c r="B37" s="16" t="str">
        <f>Source!E83</f>
        <v>16</v>
      </c>
      <c r="C37" s="35" t="str">
        <f>Source!G83</f>
        <v>Подметание тротуаров, придомовых и внутрибольничных проездов средствами малой механизации</v>
      </c>
      <c r="D37" s="16" t="s">
        <v>20</v>
      </c>
      <c r="E37" s="36">
        <f>Source!I83</f>
        <v>126.98520000000001</v>
      </c>
      <c r="F37" s="35"/>
    </row>
    <row r="38" spans="1:6" ht="14" x14ac:dyDescent="0.25">
      <c r="A38" s="16">
        <v>16.100000000000001</v>
      </c>
      <c r="B38" s="16" t="str">
        <f>Source!E84</f>
        <v>16,1</v>
      </c>
      <c r="C38" s="35" t="str">
        <f>Source!G84</f>
        <v>Вода</v>
      </c>
      <c r="D38" s="16" t="s">
        <v>39</v>
      </c>
      <c r="E38" s="36">
        <f>Source!I84</f>
        <v>-4342.8938399999997</v>
      </c>
      <c r="F38" s="35"/>
    </row>
    <row r="39" spans="1:6" ht="14" x14ac:dyDescent="0.25">
      <c r="A39" s="16">
        <v>17</v>
      </c>
      <c r="B39" s="16" t="str">
        <f>Source!E85</f>
        <v>17</v>
      </c>
      <c r="C39" s="35" t="str">
        <f>Source!G85</f>
        <v>Подметание вручную дорожек и площадок с твердым покрытием</v>
      </c>
      <c r="D39" s="16" t="s">
        <v>29</v>
      </c>
      <c r="E39" s="36">
        <f>Source!I85</f>
        <v>317.46300000000002</v>
      </c>
      <c r="F39" s="35"/>
    </row>
    <row r="40" spans="1:6" ht="28" x14ac:dyDescent="0.25">
      <c r="A40" s="16">
        <v>18</v>
      </c>
      <c r="B40" s="16" t="str">
        <f>Source!E86</f>
        <v>18</v>
      </c>
      <c r="C40" s="35" t="str">
        <f>Source!G86</f>
        <v>Полив тротуаров, придомовых и внутрибольничных проездов средствами малой механизации</v>
      </c>
      <c r="D40" s="16" t="s">
        <v>20</v>
      </c>
      <c r="E40" s="36">
        <f>Source!I86</f>
        <v>126.98520000000001</v>
      </c>
      <c r="F40" s="35"/>
    </row>
    <row r="41" spans="1:6" ht="14" x14ac:dyDescent="0.25">
      <c r="A41" s="16">
        <v>18.100000000000001</v>
      </c>
      <c r="B41" s="16" t="str">
        <f>Source!E87</f>
        <v>18,1</v>
      </c>
      <c r="C41" s="35" t="str">
        <f>Source!G87</f>
        <v>Вода</v>
      </c>
      <c r="D41" s="16" t="s">
        <v>39</v>
      </c>
      <c r="E41" s="36">
        <f>Source!I87</f>
        <v>-622.22748000000001</v>
      </c>
      <c r="F41" s="35"/>
    </row>
    <row r="42" spans="1:6" ht="14" x14ac:dyDescent="0.25">
      <c r="A42" s="16">
        <v>19</v>
      </c>
      <c r="B42" s="16" t="str">
        <f>Source!E88</f>
        <v>19</v>
      </c>
      <c r="C42" s="35" t="str">
        <f>Source!G88</f>
        <v>Протирка садовых диванов и скамеек</v>
      </c>
      <c r="D42" s="16" t="s">
        <v>29</v>
      </c>
      <c r="E42" s="36">
        <f>Source!I88</f>
        <v>0.8256</v>
      </c>
      <c r="F42" s="35"/>
    </row>
    <row r="43" spans="1:6" ht="14" x14ac:dyDescent="0.25">
      <c r="A43" s="16">
        <v>19.100000000000001</v>
      </c>
      <c r="B43" s="16" t="str">
        <f>Source!E89</f>
        <v>19,1</v>
      </c>
      <c r="C43" s="35" t="str">
        <f>Source!G89</f>
        <v>Вода</v>
      </c>
      <c r="D43" s="16" t="s">
        <v>39</v>
      </c>
      <c r="E43" s="36">
        <f>Source!I89</f>
        <v>-0.156864</v>
      </c>
      <c r="F43" s="35"/>
    </row>
    <row r="44" spans="1:6" ht="28" x14ac:dyDescent="0.25">
      <c r="A44" s="16">
        <v>20</v>
      </c>
      <c r="B44" s="16" t="str">
        <f>Source!E90</f>
        <v>20</v>
      </c>
      <c r="C44" s="35" t="str">
        <f>Source!G90</f>
        <v>Уход за урнами на придомовых и внутрибольничных территориях, очистка урн опрокидывающихся от мусора</v>
      </c>
      <c r="D44" s="16" t="s">
        <v>83</v>
      </c>
      <c r="E44" s="36">
        <f>Source!I90</f>
        <v>0.5</v>
      </c>
      <c r="F44" s="35"/>
    </row>
    <row r="45" spans="1:6" ht="28" x14ac:dyDescent="0.25">
      <c r="A45" s="16">
        <v>21</v>
      </c>
      <c r="B45" s="16" t="str">
        <f>Source!E91</f>
        <v>21</v>
      </c>
      <c r="C45" s="35" t="str">
        <f>Source!G91</f>
        <v>Уход за урнами на придомовых и внутрибольничных территориях, промывка урн опрокидывающихся</v>
      </c>
      <c r="D45" s="16" t="s">
        <v>83</v>
      </c>
      <c r="E45" s="36">
        <f>Source!I91</f>
        <v>0.5</v>
      </c>
      <c r="F45" s="35"/>
    </row>
    <row r="46" spans="1:6" ht="14" x14ac:dyDescent="0.25">
      <c r="A46" s="16">
        <v>22</v>
      </c>
      <c r="B46" s="16" t="str">
        <f>Source!E92</f>
        <v>22</v>
      </c>
      <c r="C46" s="35" t="str">
        <f>Source!G92</f>
        <v>Подметание контейнерной площадки с уборкой мусора</v>
      </c>
      <c r="D46" s="16" t="s">
        <v>174</v>
      </c>
      <c r="E46" s="36">
        <f>Source!I92</f>
        <v>3</v>
      </c>
      <c r="F46" s="35"/>
    </row>
    <row r="47" spans="1:6" ht="28" x14ac:dyDescent="0.25">
      <c r="A47" s="16">
        <v>23</v>
      </c>
      <c r="B47" s="16" t="str">
        <f>Source!E93</f>
        <v>23</v>
      </c>
      <c r="C47" s="35" t="str">
        <f>Source!G93</f>
        <v>Промывка оград металлических простого рисунка от пыли и грязи водой под напором</v>
      </c>
      <c r="D47" s="16" t="s">
        <v>29</v>
      </c>
      <c r="E47" s="36">
        <f>Source!I93</f>
        <v>26.088000000000001</v>
      </c>
      <c r="F47" s="35"/>
    </row>
    <row r="48" spans="1:6" ht="14" x14ac:dyDescent="0.25">
      <c r="A48" s="16">
        <v>23.1</v>
      </c>
      <c r="B48" s="16" t="str">
        <f>Source!E94</f>
        <v>23,1</v>
      </c>
      <c r="C48" s="35" t="str">
        <f>Source!G94</f>
        <v>Вода</v>
      </c>
      <c r="D48" s="16" t="s">
        <v>39</v>
      </c>
      <c r="E48" s="36">
        <f>Source!I94</f>
        <v>-41.7408</v>
      </c>
      <c r="F48" s="35"/>
    </row>
    <row r="49" spans="1:6" ht="16.5" x14ac:dyDescent="0.35">
      <c r="A49" s="57" t="str">
        <f>CONCATENATE("Подраздел: ", Source!G126)</f>
        <v xml:space="preserve">Подраздел: Подраздел: УХОД ЗА ЗЕЛЕНЫМИ НАСАЖДЕНИЯМИ </v>
      </c>
      <c r="B49" s="57"/>
      <c r="C49" s="57"/>
      <c r="D49" s="57"/>
      <c r="E49" s="57"/>
      <c r="F49" s="57"/>
    </row>
    <row r="50" spans="1:6" ht="14" x14ac:dyDescent="0.25">
      <c r="A50" s="16">
        <v>24</v>
      </c>
      <c r="B50" s="16" t="str">
        <f>Source!E130</f>
        <v>24</v>
      </c>
      <c r="C50" s="35" t="str">
        <f>Source!G130</f>
        <v>Уборка газонов от опавших листьев и мусора пневмомашиной</v>
      </c>
      <c r="D50" s="16" t="s">
        <v>29</v>
      </c>
      <c r="E50" s="36">
        <f>Source!I130</f>
        <v>302.476</v>
      </c>
      <c r="F50" s="35"/>
    </row>
    <row r="51" spans="1:6" ht="14" x14ac:dyDescent="0.25">
      <c r="A51" s="16">
        <v>25</v>
      </c>
      <c r="B51" s="16" t="str">
        <f>Source!E131</f>
        <v>25</v>
      </c>
      <c r="C51" s="35" t="str">
        <f>Source!G131</f>
        <v>Уборка газонов от опавших листьев и мусора вручную</v>
      </c>
      <c r="D51" s="16" t="s">
        <v>29</v>
      </c>
      <c r="E51" s="36">
        <f>Source!I131</f>
        <v>151.238</v>
      </c>
      <c r="F51" s="35"/>
    </row>
    <row r="52" spans="1:6" ht="14" x14ac:dyDescent="0.25">
      <c r="A52" s="16">
        <v>26</v>
      </c>
      <c r="B52" s="16" t="str">
        <f>Source!E132</f>
        <v>26</v>
      </c>
      <c r="C52" s="35" t="str">
        <f>Source!G132</f>
        <v>Уборка опавшей листвы в мешки с погрузкой</v>
      </c>
      <c r="D52" s="16" t="s">
        <v>39</v>
      </c>
      <c r="E52" s="36">
        <f>Source!I132</f>
        <v>226.857</v>
      </c>
      <c r="F52" s="35"/>
    </row>
    <row r="53" spans="1:6" ht="14" x14ac:dyDescent="0.25">
      <c r="A53" s="16">
        <v>27</v>
      </c>
      <c r="B53" s="16" t="str">
        <f>Source!E133</f>
        <v>27</v>
      </c>
      <c r="C53" s="35" t="str">
        <f>Source!G133</f>
        <v>Сбор случайного мусора по территории</v>
      </c>
      <c r="D53" s="16" t="s">
        <v>29</v>
      </c>
      <c r="E53" s="36">
        <f>Source!I133</f>
        <v>360.822</v>
      </c>
      <c r="F53" s="35"/>
    </row>
    <row r="54" spans="1:6" ht="14" x14ac:dyDescent="0.25">
      <c r="A54" s="16">
        <v>28</v>
      </c>
      <c r="B54" s="16" t="str">
        <f>Source!E134</f>
        <v>28</v>
      </c>
      <c r="C54" s="35" t="str">
        <f>Source!G134</f>
        <v>Выкашивание газонов газонокосилкой</v>
      </c>
      <c r="D54" s="16" t="s">
        <v>29</v>
      </c>
      <c r="E54" s="36">
        <f>Source!I134</f>
        <v>1512.38</v>
      </c>
      <c r="F54" s="35"/>
    </row>
    <row r="55" spans="1:6" ht="14" x14ac:dyDescent="0.25">
      <c r="A55" s="16">
        <v>29</v>
      </c>
      <c r="B55" s="16" t="str">
        <f>Source!E135</f>
        <v>29</v>
      </c>
      <c r="C55" s="35" t="str">
        <f>Source!G135</f>
        <v>Полив зеленых насаждений из шланга поливомоечной машины</v>
      </c>
      <c r="D55" s="16" t="s">
        <v>39</v>
      </c>
      <c r="E55" s="36">
        <f>Source!I135</f>
        <v>567.99</v>
      </c>
      <c r="F55" s="35"/>
    </row>
    <row r="56" spans="1:6" ht="14" x14ac:dyDescent="0.25">
      <c r="A56" s="16">
        <v>29.1</v>
      </c>
      <c r="B56" s="16" t="str">
        <f>Source!E136</f>
        <v>29,1</v>
      </c>
      <c r="C56" s="35" t="str">
        <f>Source!G136</f>
        <v>Вода</v>
      </c>
      <c r="D56" s="16" t="s">
        <v>39</v>
      </c>
      <c r="E56" s="36">
        <f>Source!I136</f>
        <v>-7951.8600000000006</v>
      </c>
      <c r="F56" s="35"/>
    </row>
    <row r="57" spans="1:6" ht="28" x14ac:dyDescent="0.25">
      <c r="A57" s="16">
        <v>30</v>
      </c>
      <c r="B57" s="16" t="str">
        <f>Source!E137</f>
        <v>30</v>
      </c>
      <c r="C57" s="35" t="str">
        <f>Source!G137</f>
        <v>Внесение минеральных удобрений - равномерное внесение в почву сухих минеральных удобрений (без стоимости материалов)</v>
      </c>
      <c r="D57" s="16" t="s">
        <v>29</v>
      </c>
      <c r="E57" s="36">
        <f>Source!I137</f>
        <v>756.19</v>
      </c>
      <c r="F57" s="35"/>
    </row>
    <row r="58" spans="1:6" ht="14" x14ac:dyDescent="0.25">
      <c r="A58" s="16">
        <v>30.1</v>
      </c>
      <c r="B58" s="16" t="str">
        <f>Source!E138</f>
        <v>30,1</v>
      </c>
      <c r="C58" s="35" t="str">
        <f>Source!G138</f>
        <v>Удобрения комплексные минеральные для газонов</v>
      </c>
      <c r="D58" s="16" t="s">
        <v>215</v>
      </c>
      <c r="E58" s="36">
        <f>Source!I138</f>
        <v>3780.95</v>
      </c>
      <c r="F58" s="35"/>
    </row>
    <row r="59" spans="1:6" ht="14" x14ac:dyDescent="0.25">
      <c r="A59" s="16">
        <v>31</v>
      </c>
      <c r="B59" s="16" t="str">
        <f>Source!E139</f>
        <v>31</v>
      </c>
      <c r="C59" s="35" t="str">
        <f>Source!G139</f>
        <v>Полив зеленых насаждений из шланга поливомоечной машины (20 л на 1 м2)</v>
      </c>
      <c r="D59" s="16" t="s">
        <v>39</v>
      </c>
      <c r="E59" s="36">
        <f>Source!I139</f>
        <v>94.56</v>
      </c>
      <c r="F59" s="35"/>
    </row>
    <row r="60" spans="1:6" ht="14" x14ac:dyDescent="0.25">
      <c r="A60" s="16">
        <v>32</v>
      </c>
      <c r="B60" s="16" t="str">
        <f>Source!E140</f>
        <v>32</v>
      </c>
      <c r="C60" s="35" t="str">
        <f>Source!G140</f>
        <v>Формовочная обрезка, стрижка кустарников - диаметр до 1 м</v>
      </c>
      <c r="D60" s="16" t="s">
        <v>223</v>
      </c>
      <c r="E60" s="36">
        <f>Source!I140</f>
        <v>472.8</v>
      </c>
      <c r="F60" s="35"/>
    </row>
    <row r="61" spans="1:6" ht="14" x14ac:dyDescent="0.25">
      <c r="A61" s="16">
        <v>33</v>
      </c>
      <c r="B61" s="16" t="str">
        <f>Source!E141</f>
        <v>33</v>
      </c>
      <c r="C61" s="35" t="str">
        <f>Source!G141</f>
        <v>Полив зеленых насаждений из шланга поливомоечной машины (5 л на 1 м2)</v>
      </c>
      <c r="D61" s="16" t="s">
        <v>39</v>
      </c>
      <c r="E61" s="36">
        <f>Source!I141</f>
        <v>16.925000000000001</v>
      </c>
      <c r="F61" s="35"/>
    </row>
    <row r="62" spans="1:6" ht="14" x14ac:dyDescent="0.25">
      <c r="A62" s="16">
        <v>34</v>
      </c>
      <c r="B62" s="16" t="str">
        <f>Source!E142</f>
        <v>34</v>
      </c>
      <c r="C62" s="35" t="str">
        <f>Source!G142</f>
        <v>Прополка цветников с применением полотиков</v>
      </c>
      <c r="D62" s="16" t="s">
        <v>29</v>
      </c>
      <c r="E62" s="36">
        <f>Source!I142</f>
        <v>33.85</v>
      </c>
      <c r="F62" s="35"/>
    </row>
    <row r="63" spans="1:6" ht="42" x14ac:dyDescent="0.25">
      <c r="A63" s="16">
        <v>35</v>
      </c>
      <c r="B63" s="16" t="str">
        <f>Source!E143</f>
        <v>35</v>
      </c>
      <c r="C63" s="35" t="str">
        <f>Source!G143</f>
        <v>Опрыскивание растений из ранцевого опрыскивателя комплексным органическим жидким многофункциональным удобрением на основе вермикомпоста (без стоимости удобрения)</v>
      </c>
      <c r="D63" s="16" t="s">
        <v>29</v>
      </c>
      <c r="E63" s="36">
        <f>Source!I143</f>
        <v>33.85</v>
      </c>
      <c r="F63" s="35"/>
    </row>
    <row r="64" spans="1:6" ht="28" x14ac:dyDescent="0.25">
      <c r="A64" s="16">
        <v>35.1</v>
      </c>
      <c r="B64" s="16" t="str">
        <f>Source!E144</f>
        <v>35,1</v>
      </c>
      <c r="C64" s="35" t="str">
        <f>Source!G144</f>
        <v>Удобрение - биостимулятор, органическое жидкое, антистрессовое, для некорневой подкормки, типа Текамин Макс (N 7%)</v>
      </c>
      <c r="D64" s="16" t="s">
        <v>239</v>
      </c>
      <c r="E64" s="36">
        <f>Source!I144</f>
        <v>6.77</v>
      </c>
      <c r="F64" s="35"/>
    </row>
    <row r="65" spans="1:6" ht="28" x14ac:dyDescent="0.25">
      <c r="A65" s="16">
        <v>36</v>
      </c>
      <c r="B65" s="16" t="str">
        <f>Source!E145</f>
        <v>36</v>
      </c>
      <c r="C65" s="35" t="str">
        <f>Source!G145</f>
        <v>Обрезка стеблей отцветших цветочных растений и относ их за пределы цветника</v>
      </c>
      <c r="D65" s="16" t="s">
        <v>29</v>
      </c>
      <c r="E65" s="36">
        <f>Source!I145</f>
        <v>33.85</v>
      </c>
      <c r="F65" s="35"/>
    </row>
    <row r="66" spans="1:6" ht="14" x14ac:dyDescent="0.25">
      <c r="A66" s="18">
        <v>37</v>
      </c>
      <c r="B66" s="18" t="str">
        <f>Source!E146</f>
        <v>37</v>
      </c>
      <c r="C66" s="33" t="str">
        <f>Source!G146</f>
        <v>Полив зеленых насаждений из шланга поливомоечной машины (40 л на 1 м2)</v>
      </c>
      <c r="D66" s="18" t="s">
        <v>39</v>
      </c>
      <c r="E66" s="34">
        <f>Source!I146</f>
        <v>14.76</v>
      </c>
      <c r="F66" s="33"/>
    </row>
    <row r="69" spans="1:6" ht="14" x14ac:dyDescent="0.3">
      <c r="C69" s="37" t="s">
        <v>365</v>
      </c>
      <c r="D69" s="37" t="str">
        <f>IF(Source!X12&lt;&gt;"", Source!X12," ")</f>
        <v xml:space="preserve"> </v>
      </c>
      <c r="E69" s="30"/>
    </row>
    <row r="70" spans="1:6" ht="14" x14ac:dyDescent="0.3">
      <c r="C70" s="9"/>
      <c r="D70" s="30"/>
      <c r="E70" s="30"/>
    </row>
    <row r="71" spans="1:6" ht="14" x14ac:dyDescent="0.3">
      <c r="C71" s="37" t="s">
        <v>366</v>
      </c>
      <c r="D71" s="37" t="str">
        <f>IF(Source!AB12&lt;&gt;"", Source!AB12," ")</f>
        <v xml:space="preserve"> </v>
      </c>
      <c r="E71" s="30"/>
    </row>
  </sheetData>
  <mergeCells count="9">
    <mergeCell ref="A19:F19"/>
    <mergeCell ref="A36:F36"/>
    <mergeCell ref="A49:F49"/>
    <mergeCell ref="D5:E5"/>
    <mergeCell ref="D7:E7"/>
    <mergeCell ref="B12:E12"/>
    <mergeCell ref="B13:E13"/>
    <mergeCell ref="B14:E14"/>
    <mergeCell ref="A18:F18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CA5D0-06A7-4651-8A95-4D71247500A3}">
  <dimension ref="A1:IK280"/>
  <sheetViews>
    <sheetView topLeftCell="A223" workbookViewId="0">
      <selection activeCell="F271" sqref="F271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276</v>
      </c>
      <c r="C12" s="1">
        <v>0</v>
      </c>
      <c r="D12" s="1">
        <f>ROW(A240)</f>
        <v>240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B240</f>
        <v>276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Зона 3</v>
      </c>
      <c r="H18" s="2"/>
      <c r="I18" s="2"/>
      <c r="J18" s="2"/>
      <c r="K18" s="2"/>
      <c r="L18" s="2"/>
      <c r="M18" s="2"/>
      <c r="N18" s="2"/>
      <c r="O18" s="2">
        <f t="shared" ref="O18:AT18" si="1">O240</f>
        <v>112070691.13</v>
      </c>
      <c r="P18" s="2">
        <f t="shared" si="1"/>
        <v>11513138.970000001</v>
      </c>
      <c r="Q18" s="2">
        <f t="shared" si="1"/>
        <v>62645857.93</v>
      </c>
      <c r="R18" s="2">
        <f t="shared" si="1"/>
        <v>27648681.870000001</v>
      </c>
      <c r="S18" s="2">
        <f t="shared" si="1"/>
        <v>37911694.229999997</v>
      </c>
      <c r="T18" s="2">
        <f t="shared" si="1"/>
        <v>0</v>
      </c>
      <c r="U18" s="2">
        <f t="shared" si="1"/>
        <v>82232.137350000005</v>
      </c>
      <c r="V18" s="2">
        <f t="shared" si="1"/>
        <v>0</v>
      </c>
      <c r="W18" s="2">
        <f t="shared" si="1"/>
        <v>0</v>
      </c>
      <c r="X18" s="2">
        <f t="shared" si="1"/>
        <v>26538186</v>
      </c>
      <c r="Y18" s="2">
        <f t="shared" si="1"/>
        <v>3791169.45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172260623</v>
      </c>
      <c r="AS18" s="2">
        <f t="shared" si="1"/>
        <v>0</v>
      </c>
      <c r="AT18" s="2">
        <f t="shared" si="1"/>
        <v>0</v>
      </c>
      <c r="AU18" s="2">
        <f t="shared" ref="AU18:BZ18" si="2">AU240</f>
        <v>172260623</v>
      </c>
      <c r="AV18" s="2">
        <f t="shared" si="2"/>
        <v>11513138.970000001</v>
      </c>
      <c r="AW18" s="2">
        <f t="shared" si="2"/>
        <v>11513138.970000001</v>
      </c>
      <c r="AX18" s="2">
        <f t="shared" si="2"/>
        <v>0</v>
      </c>
      <c r="AY18" s="2">
        <f t="shared" si="2"/>
        <v>11513138.970000001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CA240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DG240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EM240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FS240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ROW(A208)</f>
        <v>208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B208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Локальная смета: Зона №3</v>
      </c>
      <c r="H22" s="2"/>
      <c r="I22" s="2"/>
      <c r="J22" s="2"/>
      <c r="K22" s="2"/>
      <c r="L22" s="2"/>
      <c r="M22" s="2"/>
      <c r="N22" s="2"/>
      <c r="O22" s="2">
        <f t="shared" ref="O22:AT22" si="8">O208</f>
        <v>112070691.13</v>
      </c>
      <c r="P22" s="2">
        <f t="shared" si="8"/>
        <v>11513138.970000001</v>
      </c>
      <c r="Q22" s="2">
        <f t="shared" si="8"/>
        <v>62645857.93</v>
      </c>
      <c r="R22" s="2">
        <f t="shared" si="8"/>
        <v>27648681.870000001</v>
      </c>
      <c r="S22" s="2">
        <f t="shared" si="8"/>
        <v>37911694.229999997</v>
      </c>
      <c r="T22" s="2">
        <f t="shared" si="8"/>
        <v>0</v>
      </c>
      <c r="U22" s="2">
        <f t="shared" si="8"/>
        <v>82232.137350000005</v>
      </c>
      <c r="V22" s="2">
        <f t="shared" si="8"/>
        <v>0</v>
      </c>
      <c r="W22" s="2">
        <f t="shared" si="8"/>
        <v>0</v>
      </c>
      <c r="X22" s="2">
        <f t="shared" si="8"/>
        <v>26538186</v>
      </c>
      <c r="Y22" s="2">
        <f t="shared" si="8"/>
        <v>3791169.45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172260623</v>
      </c>
      <c r="AS22" s="2">
        <f t="shared" si="8"/>
        <v>0</v>
      </c>
      <c r="AT22" s="2">
        <f t="shared" si="8"/>
        <v>0</v>
      </c>
      <c r="AU22" s="2">
        <f t="shared" ref="AU22:BZ22" si="9">AU208</f>
        <v>172260623</v>
      </c>
      <c r="AV22" s="2">
        <f t="shared" si="9"/>
        <v>11513138.970000001</v>
      </c>
      <c r="AW22" s="2">
        <f t="shared" si="9"/>
        <v>11513138.970000001</v>
      </c>
      <c r="AX22" s="2">
        <f t="shared" si="9"/>
        <v>0</v>
      </c>
      <c r="AY22" s="2">
        <f t="shared" si="9"/>
        <v>11513138.970000001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CA208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DG208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EM208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FS208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ROW(A178)</f>
        <v>178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B178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Основная зона</v>
      </c>
      <c r="H26" s="2"/>
      <c r="I26" s="2"/>
      <c r="J26" s="2"/>
      <c r="K26" s="2"/>
      <c r="L26" s="2"/>
      <c r="M26" s="2"/>
      <c r="N26" s="2"/>
      <c r="O26" s="2">
        <f t="shared" ref="O26:AT26" si="15">O178</f>
        <v>112070691.13</v>
      </c>
      <c r="P26" s="2">
        <f t="shared" si="15"/>
        <v>11513138.970000001</v>
      </c>
      <c r="Q26" s="2">
        <f t="shared" si="15"/>
        <v>62645857.93</v>
      </c>
      <c r="R26" s="2">
        <f t="shared" si="15"/>
        <v>27648681.870000001</v>
      </c>
      <c r="S26" s="2">
        <f t="shared" si="15"/>
        <v>37911694.229999997</v>
      </c>
      <c r="T26" s="2">
        <f t="shared" si="15"/>
        <v>0</v>
      </c>
      <c r="U26" s="2">
        <f t="shared" si="15"/>
        <v>82232.137350000005</v>
      </c>
      <c r="V26" s="2">
        <f t="shared" si="15"/>
        <v>0</v>
      </c>
      <c r="W26" s="2">
        <f t="shared" si="15"/>
        <v>0</v>
      </c>
      <c r="X26" s="2">
        <f t="shared" si="15"/>
        <v>26538186</v>
      </c>
      <c r="Y26" s="2">
        <f t="shared" si="15"/>
        <v>3791169.45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172260623</v>
      </c>
      <c r="AS26" s="2">
        <f t="shared" si="15"/>
        <v>0</v>
      </c>
      <c r="AT26" s="2">
        <f t="shared" si="15"/>
        <v>0</v>
      </c>
      <c r="AU26" s="2">
        <f t="shared" ref="AU26:BZ26" si="16">AU178</f>
        <v>172260623</v>
      </c>
      <c r="AV26" s="2">
        <f t="shared" si="16"/>
        <v>11513138.970000001</v>
      </c>
      <c r="AW26" s="2">
        <f t="shared" si="16"/>
        <v>11513138.970000001</v>
      </c>
      <c r="AX26" s="2">
        <f t="shared" si="16"/>
        <v>0</v>
      </c>
      <c r="AY26" s="2">
        <f t="shared" si="16"/>
        <v>11513138.970000001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CA178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DG178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EM178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FS178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ht="13" x14ac:dyDescent="0.3">
      <c r="A28" s="1">
        <v>5</v>
      </c>
      <c r="B28" s="1">
        <v>1</v>
      </c>
      <c r="C28" s="1"/>
      <c r="D28" s="1">
        <f>ROW(A49)</f>
        <v>49</v>
      </c>
      <c r="E28" s="1"/>
      <c r="F28" s="1" t="s">
        <v>16</v>
      </c>
      <c r="G28" s="1" t="s">
        <v>367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ht="13" x14ac:dyDescent="0.3">
      <c r="A30" s="2">
        <v>52</v>
      </c>
      <c r="B30" s="2">
        <f t="shared" ref="B30:G30" si="21">B49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 xml:space="preserve">Подраздел: ЗИМНЯЯ УБОРКА </v>
      </c>
      <c r="H30" s="2"/>
      <c r="I30" s="2"/>
      <c r="J30" s="2"/>
      <c r="K30" s="2"/>
      <c r="L30" s="2"/>
      <c r="M30" s="2"/>
      <c r="N30" s="2"/>
      <c r="O30" s="2">
        <f t="shared" ref="O30:AT30" si="22">O49</f>
        <v>69678099.349999994</v>
      </c>
      <c r="P30" s="2">
        <f t="shared" si="22"/>
        <v>10856221.68</v>
      </c>
      <c r="Q30" s="2">
        <f t="shared" si="22"/>
        <v>42095479.530000001</v>
      </c>
      <c r="R30" s="2">
        <f t="shared" si="22"/>
        <v>19202016.23</v>
      </c>
      <c r="S30" s="2">
        <f t="shared" si="22"/>
        <v>16726398.140000001</v>
      </c>
      <c r="T30" s="2">
        <f t="shared" si="22"/>
        <v>0</v>
      </c>
      <c r="U30" s="2">
        <f t="shared" si="22"/>
        <v>36912.478070000005</v>
      </c>
      <c r="V30" s="2">
        <f t="shared" si="22"/>
        <v>0</v>
      </c>
      <c r="W30" s="2">
        <f t="shared" si="22"/>
        <v>0</v>
      </c>
      <c r="X30" s="2">
        <f t="shared" si="22"/>
        <v>11708478.710000001</v>
      </c>
      <c r="Y30" s="2">
        <f t="shared" si="22"/>
        <v>1672639.83</v>
      </c>
      <c r="Z30" s="2">
        <f t="shared" si="22"/>
        <v>0</v>
      </c>
      <c r="AA30" s="2">
        <f t="shared" si="22"/>
        <v>0</v>
      </c>
      <c r="AB30" s="2">
        <f t="shared" si="22"/>
        <v>69678099.349999994</v>
      </c>
      <c r="AC30" s="2">
        <f t="shared" si="22"/>
        <v>10856221.68</v>
      </c>
      <c r="AD30" s="2">
        <f t="shared" si="22"/>
        <v>42095479.530000001</v>
      </c>
      <c r="AE30" s="2">
        <f t="shared" si="22"/>
        <v>19202016.23</v>
      </c>
      <c r="AF30" s="2">
        <f t="shared" si="22"/>
        <v>16726398.140000001</v>
      </c>
      <c r="AG30" s="2">
        <f t="shared" si="22"/>
        <v>0</v>
      </c>
      <c r="AH30" s="2">
        <f t="shared" si="22"/>
        <v>36912.478070000005</v>
      </c>
      <c r="AI30" s="2">
        <f t="shared" si="22"/>
        <v>0</v>
      </c>
      <c r="AJ30" s="2">
        <f t="shared" si="22"/>
        <v>0</v>
      </c>
      <c r="AK30" s="2">
        <f t="shared" si="22"/>
        <v>11708478.710000001</v>
      </c>
      <c r="AL30" s="2">
        <f t="shared" si="22"/>
        <v>1672639.83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103797395.42</v>
      </c>
      <c r="AS30" s="2">
        <f t="shared" si="22"/>
        <v>0</v>
      </c>
      <c r="AT30" s="2">
        <f t="shared" si="22"/>
        <v>0</v>
      </c>
      <c r="AU30" s="2">
        <f t="shared" ref="AU30:BZ30" si="23">AU49</f>
        <v>103797395.42</v>
      </c>
      <c r="AV30" s="2">
        <f t="shared" si="23"/>
        <v>10856221.68</v>
      </c>
      <c r="AW30" s="2">
        <f t="shared" si="23"/>
        <v>10856221.68</v>
      </c>
      <c r="AX30" s="2">
        <f t="shared" si="23"/>
        <v>0</v>
      </c>
      <c r="AY30" s="2">
        <f t="shared" si="23"/>
        <v>10856221.68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CA49</f>
        <v>103797395.42</v>
      </c>
      <c r="CB30" s="2">
        <f t="shared" si="24"/>
        <v>0</v>
      </c>
      <c r="CC30" s="2">
        <f t="shared" si="24"/>
        <v>0</v>
      </c>
      <c r="CD30" s="2">
        <f t="shared" si="24"/>
        <v>103797395.42</v>
      </c>
      <c r="CE30" s="2">
        <f t="shared" si="24"/>
        <v>10856221.68</v>
      </c>
      <c r="CF30" s="2">
        <f t="shared" si="24"/>
        <v>10856221.68</v>
      </c>
      <c r="CG30" s="2">
        <f t="shared" si="24"/>
        <v>0</v>
      </c>
      <c r="CH30" s="2">
        <f t="shared" si="24"/>
        <v>10856221.68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DG49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EM49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FS49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5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17</v>
      </c>
      <c r="F32" t="s">
        <v>18</v>
      </c>
      <c r="G32" t="s">
        <v>19</v>
      </c>
      <c r="H32" t="s">
        <v>20</v>
      </c>
      <c r="I32">
        <f>ROUND(126985.2/1000,9)</f>
        <v>126.98520000000001</v>
      </c>
      <c r="J32">
        <v>0</v>
      </c>
      <c r="K32">
        <f>ROUND(126985.2/1000,9)</f>
        <v>126.98520000000001</v>
      </c>
      <c r="O32">
        <f t="shared" ref="O32:O47" si="28">ROUND(CP32,2)</f>
        <v>8786036.1500000004</v>
      </c>
      <c r="P32">
        <f t="shared" ref="P32:P47" si="29">ROUND(CQ32*I32,2)</f>
        <v>0</v>
      </c>
      <c r="Q32">
        <f t="shared" ref="Q32:Q47" si="30">ROUND(CR32*I32,2)</f>
        <v>8786036.1500000004</v>
      </c>
      <c r="R32">
        <f t="shared" ref="R32:R47" si="31">ROUND(CS32*I32,2)</f>
        <v>3048527.35</v>
      </c>
      <c r="S32">
        <f t="shared" ref="S32:S47" si="32">ROUND(CT32*I32,2)</f>
        <v>0</v>
      </c>
      <c r="T32">
        <f t="shared" ref="T32:T47" si="33">ROUND(CU32*I32,2)</f>
        <v>0</v>
      </c>
      <c r="U32">
        <f t="shared" ref="U32:U47" si="34">CV32*I32</f>
        <v>0</v>
      </c>
      <c r="V32">
        <f t="shared" ref="V32:V47" si="35">CW32*I32</f>
        <v>0</v>
      </c>
      <c r="W32">
        <f t="shared" ref="W32:W47" si="36">ROUND(CX32*I32,2)</f>
        <v>0</v>
      </c>
      <c r="X32">
        <f t="shared" ref="X32:X47" si="37">ROUND(CY32,2)</f>
        <v>0</v>
      </c>
      <c r="Y32">
        <f t="shared" ref="Y32:Y47" si="38">ROUND(CZ32,2)</f>
        <v>0</v>
      </c>
      <c r="AA32">
        <v>80891185</v>
      </c>
      <c r="AB32">
        <f t="shared" ref="AB32:AB47" si="39">ROUND((AC32+AD32+AF32),6)</f>
        <v>69189.45</v>
      </c>
      <c r="AC32">
        <f>ROUND(((ES32*55)),6)</f>
        <v>0</v>
      </c>
      <c r="AD32">
        <f>ROUND(((((ET32*55))-((EU32*55)))+AE32),6)</f>
        <v>69189.45</v>
      </c>
      <c r="AE32">
        <f>ROUND(((EU32*55)),6)</f>
        <v>24006.95</v>
      </c>
      <c r="AF32">
        <f>ROUND(((EV32*55)),6)</f>
        <v>0</v>
      </c>
      <c r="AG32">
        <f t="shared" ref="AG32:AG47" si="40">ROUND((AP32),6)</f>
        <v>0</v>
      </c>
      <c r="AH32">
        <f>((EW32*55))</f>
        <v>0</v>
      </c>
      <c r="AI32">
        <f>((EX32*55))</f>
        <v>0</v>
      </c>
      <c r="AJ32">
        <f t="shared" ref="AJ32:AJ47" si="41">(AS32)</f>
        <v>0</v>
      </c>
      <c r="AK32">
        <v>1257.99</v>
      </c>
      <c r="AL32">
        <v>0</v>
      </c>
      <c r="AM32">
        <v>1257.99</v>
      </c>
      <c r="AN32">
        <v>436.49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7" si="42">(P32+Q32+S32)</f>
        <v>8786036.1500000004</v>
      </c>
      <c r="CQ32">
        <f t="shared" ref="CQ32:CQ47" si="43">(AC32*BC32*AW32)</f>
        <v>0</v>
      </c>
      <c r="CR32">
        <f>(((((ET32*55))*BB32-((EU32*55))*BS32)+AE32*BS32)*AV32)</f>
        <v>69189.45</v>
      </c>
      <c r="CS32">
        <f t="shared" ref="CS32:CS47" si="44">(AE32*BS32*AV32)</f>
        <v>24006.95</v>
      </c>
      <c r="CT32">
        <f t="shared" ref="CT32:CT47" si="45">(AF32*BA32*AV32)</f>
        <v>0</v>
      </c>
      <c r="CU32">
        <f t="shared" ref="CU32:CU47" si="46">AG32</f>
        <v>0</v>
      </c>
      <c r="CV32">
        <f t="shared" ref="CV32:CV47" si="47">(AH32*AV32)</f>
        <v>0</v>
      </c>
      <c r="CW32">
        <f t="shared" ref="CW32:CW47" si="48">AI32</f>
        <v>0</v>
      </c>
      <c r="CX32">
        <f t="shared" ref="CX32:CX47" si="49">AJ32</f>
        <v>0</v>
      </c>
      <c r="CY32">
        <f t="shared" ref="CY32:CY47" si="50">((S32*BZ32)/100)</f>
        <v>0</v>
      </c>
      <c r="CZ32">
        <f t="shared" ref="CZ32:CZ47" si="51">((S32*CA32)/100)</f>
        <v>0</v>
      </c>
      <c r="DC32" t="s">
        <v>3</v>
      </c>
      <c r="DD32" t="s">
        <v>22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0</v>
      </c>
      <c r="ER32">
        <v>1257.99</v>
      </c>
      <c r="ES32">
        <v>0</v>
      </c>
      <c r="ET32">
        <v>1257.99</v>
      </c>
      <c r="EU32">
        <v>436.49</v>
      </c>
      <c r="EV32">
        <v>0</v>
      </c>
      <c r="EW32">
        <v>0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-459785160</v>
      </c>
      <c r="GG32">
        <v>2</v>
      </c>
      <c r="GH32">
        <v>1</v>
      </c>
      <c r="GI32">
        <v>-2</v>
      </c>
      <c r="GJ32">
        <v>0</v>
      </c>
      <c r="GK32">
        <f>ROUND(R32*(R12)/100,2)</f>
        <v>3292409.54</v>
      </c>
      <c r="GL32">
        <f t="shared" ref="GL32:GL47" si="52">ROUND(IF(AND(BH32=3,BI32=3,FS32&lt;&gt;0),P32,0),2)</f>
        <v>0</v>
      </c>
      <c r="GM32">
        <f t="shared" ref="GM32:GM47" si="53">ROUND(O32+X32+Y32+GK32,2)+GX32</f>
        <v>12078445.689999999</v>
      </c>
      <c r="GN32">
        <f t="shared" ref="GN32:GN47" si="54">IF(OR(BI32=0,BI32=1),GM32-GX32,0)</f>
        <v>0</v>
      </c>
      <c r="GO32">
        <f t="shared" ref="GO32:GO47" si="55">IF(BI32=2,GM32-GX32,0)</f>
        <v>0</v>
      </c>
      <c r="GP32">
        <f t="shared" ref="GP32:GP47" si="56">IF(BI32=4,GM32-GX32,0)</f>
        <v>12078445.689999999</v>
      </c>
      <c r="GR32">
        <v>0</v>
      </c>
      <c r="GS32">
        <v>3</v>
      </c>
      <c r="GT32">
        <v>0</v>
      </c>
      <c r="GU32" t="s">
        <v>3</v>
      </c>
      <c r="GV32">
        <f t="shared" ref="GV32:GV47" si="57">ROUND((GT32),6)</f>
        <v>0</v>
      </c>
      <c r="GW32">
        <v>1</v>
      </c>
      <c r="GX32">
        <f t="shared" ref="GX32:GX47" si="58">ROUND(HC32*I32,2)</f>
        <v>0</v>
      </c>
      <c r="HA32">
        <v>0</v>
      </c>
      <c r="HB32">
        <v>0</v>
      </c>
      <c r="HC32">
        <f t="shared" ref="HC32:HC47" si="59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C33">
        <f>ROW(SmtRes!A2)</f>
        <v>2</v>
      </c>
      <c r="D33">
        <f>ROW(EtalonRes!A2)</f>
        <v>2</v>
      </c>
      <c r="E33" t="s">
        <v>26</v>
      </c>
      <c r="F33" t="s">
        <v>27</v>
      </c>
      <c r="G33" t="s">
        <v>28</v>
      </c>
      <c r="H33" t="s">
        <v>29</v>
      </c>
      <c r="I33">
        <f>ROUND(31746.3/100,9)</f>
        <v>317.46300000000002</v>
      </c>
      <c r="J33">
        <v>0</v>
      </c>
      <c r="K33">
        <f>ROUND(31746.3/100,9)</f>
        <v>317.46300000000002</v>
      </c>
      <c r="O33">
        <f t="shared" si="28"/>
        <v>5142805.3600000003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5142805.3600000003</v>
      </c>
      <c r="T33">
        <f t="shared" si="33"/>
        <v>0</v>
      </c>
      <c r="U33">
        <f t="shared" si="34"/>
        <v>11349.302250000001</v>
      </c>
      <c r="V33">
        <f t="shared" si="35"/>
        <v>0</v>
      </c>
      <c r="W33">
        <f t="shared" si="36"/>
        <v>0</v>
      </c>
      <c r="X33">
        <f t="shared" si="37"/>
        <v>3599963.75</v>
      </c>
      <c r="Y33">
        <f t="shared" si="38"/>
        <v>514280.54</v>
      </c>
      <c r="AA33">
        <v>80891185</v>
      </c>
      <c r="AB33">
        <f t="shared" si="39"/>
        <v>16199.7</v>
      </c>
      <c r="AC33">
        <f>ROUND(((ES33*55)),6)</f>
        <v>0</v>
      </c>
      <c r="AD33">
        <f>ROUND(((((ET33*55))-((EU33*55)))+AE33),6)</f>
        <v>0</v>
      </c>
      <c r="AE33">
        <f>ROUND(((EU33*55)),6)</f>
        <v>0</v>
      </c>
      <c r="AF33">
        <f>ROUND(((EV33*55)),6)</f>
        <v>16199.7</v>
      </c>
      <c r="AG33">
        <f t="shared" si="40"/>
        <v>0</v>
      </c>
      <c r="AH33">
        <f>((EW33*55))</f>
        <v>35.75</v>
      </c>
      <c r="AI33">
        <f>((EX33*55))</f>
        <v>0</v>
      </c>
      <c r="AJ33">
        <f t="shared" si="41"/>
        <v>0</v>
      </c>
      <c r="AK33">
        <v>294.54000000000002</v>
      </c>
      <c r="AL33">
        <v>0</v>
      </c>
      <c r="AM33">
        <v>0</v>
      </c>
      <c r="AN33">
        <v>0</v>
      </c>
      <c r="AO33">
        <v>294.54000000000002</v>
      </c>
      <c r="AP33">
        <v>0</v>
      </c>
      <c r="AQ33">
        <v>0.65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5142805.3600000003</v>
      </c>
      <c r="CQ33">
        <f t="shared" si="43"/>
        <v>0</v>
      </c>
      <c r="CR33">
        <f>(((((ET33*55))*BB33-((EU33*55))*BS33)+AE33*BS33)*AV33)</f>
        <v>0</v>
      </c>
      <c r="CS33">
        <f t="shared" si="44"/>
        <v>0</v>
      </c>
      <c r="CT33">
        <f t="shared" si="45"/>
        <v>16199.7</v>
      </c>
      <c r="CU33">
        <f t="shared" si="46"/>
        <v>0</v>
      </c>
      <c r="CV33">
        <f t="shared" si="47"/>
        <v>35.75</v>
      </c>
      <c r="CW33">
        <f t="shared" si="48"/>
        <v>0</v>
      </c>
      <c r="CX33">
        <f t="shared" si="49"/>
        <v>0</v>
      </c>
      <c r="CY33">
        <f t="shared" si="50"/>
        <v>3599963.7520000003</v>
      </c>
      <c r="CZ33">
        <f t="shared" si="51"/>
        <v>514280.53600000002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29</v>
      </c>
      <c r="DW33" t="s">
        <v>29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294.54000000000002</v>
      </c>
      <c r="ES33">
        <v>0</v>
      </c>
      <c r="ET33">
        <v>0</v>
      </c>
      <c r="EU33">
        <v>0</v>
      </c>
      <c r="EV33">
        <v>294.54000000000002</v>
      </c>
      <c r="EW33">
        <v>0.65</v>
      </c>
      <c r="EX33">
        <v>0</v>
      </c>
      <c r="EY33">
        <v>0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-476776594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2"/>
        <v>0</v>
      </c>
      <c r="GM33">
        <f t="shared" si="53"/>
        <v>9257049.6500000004</v>
      </c>
      <c r="GN33">
        <f t="shared" si="54"/>
        <v>0</v>
      </c>
      <c r="GO33">
        <f t="shared" si="55"/>
        <v>0</v>
      </c>
      <c r="GP33">
        <f t="shared" si="56"/>
        <v>9257049.6500000004</v>
      </c>
      <c r="GR33">
        <v>0</v>
      </c>
      <c r="GS33">
        <v>3</v>
      </c>
      <c r="GT33">
        <v>0</v>
      </c>
      <c r="GU33" t="s">
        <v>3</v>
      </c>
      <c r="GV33">
        <f t="shared" si="57"/>
        <v>0</v>
      </c>
      <c r="GW33">
        <v>1</v>
      </c>
      <c r="GX33">
        <f t="shared" si="58"/>
        <v>0</v>
      </c>
      <c r="HA33">
        <v>0</v>
      </c>
      <c r="HB33">
        <v>0</v>
      </c>
      <c r="HC33">
        <f t="shared" si="59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5">
      <c r="A34">
        <v>17</v>
      </c>
      <c r="B34">
        <v>1</v>
      </c>
      <c r="C34">
        <f>ROW(SmtRes!A4)</f>
        <v>4</v>
      </c>
      <c r="D34">
        <f>ROW(EtalonRes!A4)</f>
        <v>4</v>
      </c>
      <c r="E34" t="s">
        <v>31</v>
      </c>
      <c r="F34" t="s">
        <v>32</v>
      </c>
      <c r="G34" t="s">
        <v>33</v>
      </c>
      <c r="H34" t="s">
        <v>20</v>
      </c>
      <c r="I34">
        <f>ROUND(126985.2/1000,9)</f>
        <v>126.98520000000001</v>
      </c>
      <c r="J34">
        <v>0</v>
      </c>
      <c r="K34">
        <f>ROUND(126985.2/1000,9)</f>
        <v>126.98520000000001</v>
      </c>
      <c r="O34">
        <f t="shared" si="28"/>
        <v>6689797.4800000004</v>
      </c>
      <c r="P34">
        <f t="shared" si="29"/>
        <v>154485.10999999999</v>
      </c>
      <c r="Q34">
        <f t="shared" si="30"/>
        <v>6535312.3700000001</v>
      </c>
      <c r="R34">
        <f t="shared" si="31"/>
        <v>3088997.53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80891185</v>
      </c>
      <c r="AB34">
        <f t="shared" si="39"/>
        <v>52681.71</v>
      </c>
      <c r="AC34">
        <f>ROUND(((ES34*111)),6)</f>
        <v>1216.56</v>
      </c>
      <c r="AD34">
        <f>ROUND(((((ET34*111))-((EU34*111)))+AE34),6)</f>
        <v>51465.15</v>
      </c>
      <c r="AE34">
        <f>ROUND(((EU34*111)),6)</f>
        <v>24325.65</v>
      </c>
      <c r="AF34">
        <f>ROUND(((EV34*111)),6)</f>
        <v>0</v>
      </c>
      <c r="AG34">
        <f t="shared" si="40"/>
        <v>0</v>
      </c>
      <c r="AH34">
        <f>((EW34*111))</f>
        <v>0</v>
      </c>
      <c r="AI34">
        <f>((EX34*111))</f>
        <v>0</v>
      </c>
      <c r="AJ34">
        <f t="shared" si="41"/>
        <v>0</v>
      </c>
      <c r="AK34">
        <v>474.61</v>
      </c>
      <c r="AL34">
        <v>10.96</v>
      </c>
      <c r="AM34">
        <v>463.65</v>
      </c>
      <c r="AN34">
        <v>219.15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6689797.4800000004</v>
      </c>
      <c r="CQ34">
        <f t="shared" si="43"/>
        <v>1216.56</v>
      </c>
      <c r="CR34">
        <f>(((((ET34*111))*BB34-((EU34*111))*BS34)+AE34*BS34)*AV34)</f>
        <v>51465.149999999994</v>
      </c>
      <c r="CS34">
        <f t="shared" si="44"/>
        <v>24325.65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35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474.61</v>
      </c>
      <c r="ES34">
        <v>10.96</v>
      </c>
      <c r="ET34">
        <v>463.65</v>
      </c>
      <c r="EU34">
        <v>219.15</v>
      </c>
      <c r="EV34">
        <v>0</v>
      </c>
      <c r="EW34">
        <v>0</v>
      </c>
      <c r="EX34">
        <v>0</v>
      </c>
      <c r="EY34">
        <v>0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-64890484</v>
      </c>
      <c r="GG34">
        <v>2</v>
      </c>
      <c r="GH34">
        <v>1</v>
      </c>
      <c r="GI34">
        <v>-2</v>
      </c>
      <c r="GJ34">
        <v>0</v>
      </c>
      <c r="GK34">
        <f>ROUND(R34*(R12)/100,2)</f>
        <v>3336117.33</v>
      </c>
      <c r="GL34">
        <f t="shared" si="52"/>
        <v>0</v>
      </c>
      <c r="GM34">
        <f t="shared" si="53"/>
        <v>10025914.810000001</v>
      </c>
      <c r="GN34">
        <f t="shared" si="54"/>
        <v>0</v>
      </c>
      <c r="GO34">
        <f t="shared" si="55"/>
        <v>0</v>
      </c>
      <c r="GP34">
        <f t="shared" si="56"/>
        <v>10025914.810000001</v>
      </c>
      <c r="GR34">
        <v>0</v>
      </c>
      <c r="GS34">
        <v>3</v>
      </c>
      <c r="GT34">
        <v>0</v>
      </c>
      <c r="GU34" t="s">
        <v>3</v>
      </c>
      <c r="GV34">
        <f t="shared" si="57"/>
        <v>0</v>
      </c>
      <c r="GW34">
        <v>1</v>
      </c>
      <c r="GX34">
        <f t="shared" si="58"/>
        <v>0</v>
      </c>
      <c r="HA34">
        <v>0</v>
      </c>
      <c r="HB34">
        <v>0</v>
      </c>
      <c r="HC34">
        <f t="shared" si="59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5">
      <c r="A35">
        <v>18</v>
      </c>
      <c r="B35">
        <v>1</v>
      </c>
      <c r="C35">
        <v>4</v>
      </c>
      <c r="E35" t="s">
        <v>36</v>
      </c>
      <c r="F35" t="s">
        <v>37</v>
      </c>
      <c r="G35" t="s">
        <v>38</v>
      </c>
      <c r="H35" t="s">
        <v>39</v>
      </c>
      <c r="I35">
        <f>I34*J35</f>
        <v>-2819.0714400000002</v>
      </c>
      <c r="J35">
        <v>-22.2</v>
      </c>
      <c r="K35">
        <v>-0.2</v>
      </c>
      <c r="O35">
        <f t="shared" si="28"/>
        <v>-154513.31</v>
      </c>
      <c r="P35">
        <f t="shared" si="29"/>
        <v>-154513.31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80891185</v>
      </c>
      <c r="AB35">
        <f t="shared" si="39"/>
        <v>54.81</v>
      </c>
      <c r="AC35">
        <f>ROUND((ES35),6)</f>
        <v>54.81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40"/>
        <v>0</v>
      </c>
      <c r="AH35">
        <f>(EW35)</f>
        <v>0</v>
      </c>
      <c r="AI35">
        <f>(EX35)</f>
        <v>0</v>
      </c>
      <c r="AJ35">
        <f t="shared" si="41"/>
        <v>0</v>
      </c>
      <c r="AK35">
        <v>54.81</v>
      </c>
      <c r="AL35">
        <v>54.81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40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-154513.31</v>
      </c>
      <c r="CQ35">
        <f t="shared" si="43"/>
        <v>54.81</v>
      </c>
      <c r="CR35">
        <f>((((ET35)*BB35-(EU35)*BS35)+AE35*BS35)*AV35)</f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39</v>
      </c>
      <c r="DW35" t="s">
        <v>39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54.81</v>
      </c>
      <c r="ES35">
        <v>54.81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2112060389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-154513.31</v>
      </c>
      <c r="GN35">
        <f t="shared" si="54"/>
        <v>0</v>
      </c>
      <c r="GO35">
        <f t="shared" si="55"/>
        <v>0</v>
      </c>
      <c r="GP35">
        <f t="shared" si="56"/>
        <v>-154513.31</v>
      </c>
      <c r="GR35">
        <v>0</v>
      </c>
      <c r="GS35">
        <v>3</v>
      </c>
      <c r="GT35">
        <v>0</v>
      </c>
      <c r="GU35" t="s">
        <v>3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HE35" t="s">
        <v>3</v>
      </c>
      <c r="HF35" t="s">
        <v>3</v>
      </c>
      <c r="HM35" t="s">
        <v>35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5">
      <c r="A36">
        <v>17</v>
      </c>
      <c r="B36">
        <v>1</v>
      </c>
      <c r="C36">
        <f>ROW(SmtRes!A5)</f>
        <v>5</v>
      </c>
      <c r="D36">
        <f>ROW(EtalonRes!A5)</f>
        <v>5</v>
      </c>
      <c r="E36" t="s">
        <v>41</v>
      </c>
      <c r="F36" t="s">
        <v>42</v>
      </c>
      <c r="G36" t="s">
        <v>43</v>
      </c>
      <c r="H36" t="s">
        <v>29</v>
      </c>
      <c r="I36">
        <f>ROUND(31746.3/100,9)</f>
        <v>317.46300000000002</v>
      </c>
      <c r="J36">
        <v>0</v>
      </c>
      <c r="K36">
        <f>ROUND(31746.3/100,9)</f>
        <v>317.46300000000002</v>
      </c>
      <c r="O36">
        <f t="shared" si="28"/>
        <v>2235523.65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2235523.65</v>
      </c>
      <c r="T36">
        <f t="shared" si="33"/>
        <v>0</v>
      </c>
      <c r="U36">
        <f t="shared" si="34"/>
        <v>4933.3750200000004</v>
      </c>
      <c r="V36">
        <f t="shared" si="35"/>
        <v>0</v>
      </c>
      <c r="W36">
        <f t="shared" si="36"/>
        <v>0</v>
      </c>
      <c r="X36">
        <f t="shared" si="37"/>
        <v>1564866.5600000001</v>
      </c>
      <c r="Y36">
        <f t="shared" si="38"/>
        <v>223552.37</v>
      </c>
      <c r="AA36">
        <v>80891185</v>
      </c>
      <c r="AB36">
        <f t="shared" si="39"/>
        <v>7041.84</v>
      </c>
      <c r="AC36">
        <f>ROUND(((ES36*111)),6)</f>
        <v>0</v>
      </c>
      <c r="AD36">
        <f>ROUND(((((ET36*111))-((EU36*111)))+AE36),6)</f>
        <v>0</v>
      </c>
      <c r="AE36">
        <f>ROUND(((EU36*111)),6)</f>
        <v>0</v>
      </c>
      <c r="AF36">
        <f>ROUND(((EV36*111)),6)</f>
        <v>7041.84</v>
      </c>
      <c r="AG36">
        <f t="shared" si="40"/>
        <v>0</v>
      </c>
      <c r="AH36">
        <f>((EW36*111))</f>
        <v>15.540000000000001</v>
      </c>
      <c r="AI36">
        <f>((EX36*111))</f>
        <v>0</v>
      </c>
      <c r="AJ36">
        <f t="shared" si="41"/>
        <v>0</v>
      </c>
      <c r="AK36">
        <v>63.44</v>
      </c>
      <c r="AL36">
        <v>0</v>
      </c>
      <c r="AM36">
        <v>0</v>
      </c>
      <c r="AN36">
        <v>0</v>
      </c>
      <c r="AO36">
        <v>63.44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44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2235523.65</v>
      </c>
      <c r="CQ36">
        <f t="shared" si="43"/>
        <v>0</v>
      </c>
      <c r="CR36">
        <f>(((((ET36*111))*BB36-((EU36*111))*BS36)+AE36*BS36)*AV36)</f>
        <v>0</v>
      </c>
      <c r="CS36">
        <f t="shared" si="44"/>
        <v>0</v>
      </c>
      <c r="CT36">
        <f t="shared" si="45"/>
        <v>7041.84</v>
      </c>
      <c r="CU36">
        <f t="shared" si="46"/>
        <v>0</v>
      </c>
      <c r="CV36">
        <f t="shared" si="47"/>
        <v>15.540000000000001</v>
      </c>
      <c r="CW36">
        <f t="shared" si="48"/>
        <v>0</v>
      </c>
      <c r="CX36">
        <f t="shared" si="49"/>
        <v>0</v>
      </c>
      <c r="CY36">
        <f t="shared" si="50"/>
        <v>1564866.5549999999</v>
      </c>
      <c r="CZ36">
        <f t="shared" si="51"/>
        <v>223552.36499999999</v>
      </c>
      <c r="DC36" t="s">
        <v>3</v>
      </c>
      <c r="DD36" t="s">
        <v>35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29</v>
      </c>
      <c r="DW36" t="s">
        <v>29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63.44</v>
      </c>
      <c r="ES36">
        <v>0</v>
      </c>
      <c r="ET36">
        <v>0</v>
      </c>
      <c r="EU36">
        <v>0</v>
      </c>
      <c r="EV36">
        <v>63.44</v>
      </c>
      <c r="EW36">
        <v>0.14000000000000001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-502436687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4023942.58</v>
      </c>
      <c r="GN36">
        <f t="shared" si="54"/>
        <v>0</v>
      </c>
      <c r="GO36">
        <f t="shared" si="55"/>
        <v>0</v>
      </c>
      <c r="GP36">
        <f t="shared" si="56"/>
        <v>4023942.58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5">
      <c r="A37">
        <v>17</v>
      </c>
      <c r="B37">
        <v>1</v>
      </c>
      <c r="C37">
        <f>ROW(SmtRes!A8)</f>
        <v>8</v>
      </c>
      <c r="D37">
        <f>ROW(EtalonRes!A8)</f>
        <v>8</v>
      </c>
      <c r="E37" t="s">
        <v>45</v>
      </c>
      <c r="F37" t="s">
        <v>46</v>
      </c>
      <c r="G37" t="s">
        <v>47</v>
      </c>
      <c r="H37" t="s">
        <v>20</v>
      </c>
      <c r="I37">
        <f>ROUND(126985.2/1000,9)</f>
        <v>126.98520000000001</v>
      </c>
      <c r="J37">
        <v>0</v>
      </c>
      <c r="K37">
        <f>ROUND(126985.2/1000,9)</f>
        <v>126.98520000000001</v>
      </c>
      <c r="O37">
        <f t="shared" si="28"/>
        <v>9734177.5</v>
      </c>
      <c r="P37">
        <f t="shared" si="29"/>
        <v>8666739.9000000004</v>
      </c>
      <c r="Q37">
        <f t="shared" si="30"/>
        <v>1009913.3</v>
      </c>
      <c r="R37">
        <f t="shared" si="31"/>
        <v>426098.84</v>
      </c>
      <c r="S37">
        <f t="shared" si="32"/>
        <v>57524.3</v>
      </c>
      <c r="T37">
        <f t="shared" si="33"/>
        <v>0</v>
      </c>
      <c r="U37">
        <f t="shared" si="34"/>
        <v>126.98520000000001</v>
      </c>
      <c r="V37">
        <f t="shared" si="35"/>
        <v>0</v>
      </c>
      <c r="W37">
        <f t="shared" si="36"/>
        <v>0</v>
      </c>
      <c r="X37">
        <f t="shared" si="37"/>
        <v>40267.01</v>
      </c>
      <c r="Y37">
        <f t="shared" si="38"/>
        <v>5752.43</v>
      </c>
      <c r="AA37">
        <v>80891185</v>
      </c>
      <c r="AB37">
        <f t="shared" si="39"/>
        <v>76656</v>
      </c>
      <c r="AC37">
        <f>ROUND(((ES37*50)),6)</f>
        <v>68250</v>
      </c>
      <c r="AD37">
        <f>ROUND(((((ET37*50))-((EU37*50)))+AE37),6)</f>
        <v>7953</v>
      </c>
      <c r="AE37">
        <f>ROUND(((EU37*50)),6)</f>
        <v>3355.5</v>
      </c>
      <c r="AF37">
        <f>ROUND(((EV37*50)),6)</f>
        <v>453</v>
      </c>
      <c r="AG37">
        <f t="shared" si="40"/>
        <v>0</v>
      </c>
      <c r="AH37">
        <f>((EW37*50))</f>
        <v>1</v>
      </c>
      <c r="AI37">
        <f>((EX37*50))</f>
        <v>0</v>
      </c>
      <c r="AJ37">
        <f t="shared" si="41"/>
        <v>0</v>
      </c>
      <c r="AK37">
        <v>1533.12</v>
      </c>
      <c r="AL37">
        <v>1365</v>
      </c>
      <c r="AM37">
        <v>159.06</v>
      </c>
      <c r="AN37">
        <v>67.11</v>
      </c>
      <c r="AO37">
        <v>9.06</v>
      </c>
      <c r="AP37">
        <v>0</v>
      </c>
      <c r="AQ37">
        <v>0.02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48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9734177.5000000019</v>
      </c>
      <c r="CQ37">
        <f t="shared" si="43"/>
        <v>68250</v>
      </c>
      <c r="CR37">
        <f>(((((ET37*50))*BB37-((EU37*50))*BS37)+AE37*BS37)*AV37)</f>
        <v>7953</v>
      </c>
      <c r="CS37">
        <f t="shared" si="44"/>
        <v>3355.5</v>
      </c>
      <c r="CT37">
        <f t="shared" si="45"/>
        <v>453</v>
      </c>
      <c r="CU37">
        <f t="shared" si="46"/>
        <v>0</v>
      </c>
      <c r="CV37">
        <f t="shared" si="47"/>
        <v>1</v>
      </c>
      <c r="CW37">
        <f t="shared" si="48"/>
        <v>0</v>
      </c>
      <c r="CX37">
        <f t="shared" si="49"/>
        <v>0</v>
      </c>
      <c r="CY37">
        <f t="shared" si="50"/>
        <v>40267.01</v>
      </c>
      <c r="CZ37">
        <f t="shared" si="51"/>
        <v>5752.43</v>
      </c>
      <c r="DC37" t="s">
        <v>3</v>
      </c>
      <c r="DD37" t="s">
        <v>49</v>
      </c>
      <c r="DE37" t="s">
        <v>49</v>
      </c>
      <c r="DF37" t="s">
        <v>49</v>
      </c>
      <c r="DG37" t="s">
        <v>49</v>
      </c>
      <c r="DH37" t="s">
        <v>3</v>
      </c>
      <c r="DI37" t="s">
        <v>49</v>
      </c>
      <c r="DJ37" t="s">
        <v>49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20</v>
      </c>
      <c r="DW37" t="s">
        <v>20</v>
      </c>
      <c r="DX37">
        <v>1000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1533.12</v>
      </c>
      <c r="ES37">
        <v>1365</v>
      </c>
      <c r="ET37">
        <v>159.06</v>
      </c>
      <c r="EU37">
        <v>67.11</v>
      </c>
      <c r="EV37">
        <v>9.06</v>
      </c>
      <c r="EW37">
        <v>0.02</v>
      </c>
      <c r="EX37">
        <v>0</v>
      </c>
      <c r="EY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-905148242</v>
      </c>
      <c r="GG37">
        <v>2</v>
      </c>
      <c r="GH37">
        <v>1</v>
      </c>
      <c r="GI37">
        <v>-2</v>
      </c>
      <c r="GJ37">
        <v>0</v>
      </c>
      <c r="GK37">
        <f>ROUND(R37*(R12)/100,2)</f>
        <v>460186.75</v>
      </c>
      <c r="GL37">
        <f t="shared" si="52"/>
        <v>0</v>
      </c>
      <c r="GM37">
        <f t="shared" si="53"/>
        <v>10240383.689999999</v>
      </c>
      <c r="GN37">
        <f t="shared" si="54"/>
        <v>0</v>
      </c>
      <c r="GO37">
        <f t="shared" si="55"/>
        <v>0</v>
      </c>
      <c r="GP37">
        <f t="shared" si="56"/>
        <v>10240383.689999999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5">
      <c r="A38">
        <v>17</v>
      </c>
      <c r="B38">
        <v>1</v>
      </c>
      <c r="C38">
        <f>ROW(SmtRes!A10)</f>
        <v>10</v>
      </c>
      <c r="D38">
        <f>ROW(EtalonRes!A10)</f>
        <v>10</v>
      </c>
      <c r="E38" t="s">
        <v>50</v>
      </c>
      <c r="F38" t="s">
        <v>51</v>
      </c>
      <c r="G38" t="s">
        <v>52</v>
      </c>
      <c r="H38" t="s">
        <v>29</v>
      </c>
      <c r="I38">
        <f>ROUND(31746.3/100,9)</f>
        <v>317.46300000000002</v>
      </c>
      <c r="J38">
        <v>0</v>
      </c>
      <c r="K38">
        <f>ROUND(31746.3/100,9)</f>
        <v>317.46300000000002</v>
      </c>
      <c r="O38">
        <f t="shared" si="28"/>
        <v>4324480.99</v>
      </c>
      <c r="P38">
        <f t="shared" si="29"/>
        <v>2166684.98</v>
      </c>
      <c r="Q38">
        <f t="shared" si="30"/>
        <v>0</v>
      </c>
      <c r="R38">
        <f t="shared" si="31"/>
        <v>0</v>
      </c>
      <c r="S38">
        <f t="shared" si="32"/>
        <v>2157796.0099999998</v>
      </c>
      <c r="T38">
        <f t="shared" si="33"/>
        <v>0</v>
      </c>
      <c r="U38">
        <f t="shared" si="34"/>
        <v>4761.9450000000006</v>
      </c>
      <c r="V38">
        <f t="shared" si="35"/>
        <v>0</v>
      </c>
      <c r="W38">
        <f t="shared" si="36"/>
        <v>0</v>
      </c>
      <c r="X38">
        <f t="shared" si="37"/>
        <v>1510457.21</v>
      </c>
      <c r="Y38">
        <f t="shared" si="38"/>
        <v>215779.6</v>
      </c>
      <c r="AA38">
        <v>80891185</v>
      </c>
      <c r="AB38">
        <f t="shared" si="39"/>
        <v>13622</v>
      </c>
      <c r="AC38">
        <f>ROUND(((ES38*50)),6)</f>
        <v>6825</v>
      </c>
      <c r="AD38">
        <f>ROUND(((((ET38*50))-((EU38*50)))+AE38),6)</f>
        <v>0</v>
      </c>
      <c r="AE38">
        <f>ROUND(((EU38*50)),6)</f>
        <v>0</v>
      </c>
      <c r="AF38">
        <f>ROUND(((EV38*50)),6)</f>
        <v>6797</v>
      </c>
      <c r="AG38">
        <f t="shared" si="40"/>
        <v>0</v>
      </c>
      <c r="AH38">
        <f>((EW38*50))</f>
        <v>15</v>
      </c>
      <c r="AI38">
        <f>((EX38*50))</f>
        <v>0</v>
      </c>
      <c r="AJ38">
        <f t="shared" si="41"/>
        <v>0</v>
      </c>
      <c r="AK38">
        <v>272.44</v>
      </c>
      <c r="AL38">
        <v>136.5</v>
      </c>
      <c r="AM38">
        <v>0</v>
      </c>
      <c r="AN38">
        <v>0</v>
      </c>
      <c r="AO38">
        <v>135.94</v>
      </c>
      <c r="AP38">
        <v>0</v>
      </c>
      <c r="AQ38">
        <v>0.3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53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4324480.99</v>
      </c>
      <c r="CQ38">
        <f t="shared" si="43"/>
        <v>6825</v>
      </c>
      <c r="CR38">
        <f>(((((ET38*50))*BB38-((EU38*50))*BS38)+AE38*BS38)*AV38)</f>
        <v>0</v>
      </c>
      <c r="CS38">
        <f t="shared" si="44"/>
        <v>0</v>
      </c>
      <c r="CT38">
        <f t="shared" si="45"/>
        <v>6797</v>
      </c>
      <c r="CU38">
        <f t="shared" si="46"/>
        <v>0</v>
      </c>
      <c r="CV38">
        <f t="shared" si="47"/>
        <v>15</v>
      </c>
      <c r="CW38">
        <f t="shared" si="48"/>
        <v>0</v>
      </c>
      <c r="CX38">
        <f t="shared" si="49"/>
        <v>0</v>
      </c>
      <c r="CY38">
        <f t="shared" si="50"/>
        <v>1510457.2069999999</v>
      </c>
      <c r="CZ38">
        <f t="shared" si="51"/>
        <v>215779.60099999997</v>
      </c>
      <c r="DC38" t="s">
        <v>3</v>
      </c>
      <c r="DD38" t="s">
        <v>49</v>
      </c>
      <c r="DE38" t="s">
        <v>49</v>
      </c>
      <c r="DF38" t="s">
        <v>49</v>
      </c>
      <c r="DG38" t="s">
        <v>49</v>
      </c>
      <c r="DH38" t="s">
        <v>3</v>
      </c>
      <c r="DI38" t="s">
        <v>49</v>
      </c>
      <c r="DJ38" t="s">
        <v>49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29</v>
      </c>
      <c r="DW38" t="s">
        <v>29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272.44</v>
      </c>
      <c r="ES38">
        <v>136.5</v>
      </c>
      <c r="ET38">
        <v>0</v>
      </c>
      <c r="EU38">
        <v>0</v>
      </c>
      <c r="EV38">
        <v>135.94</v>
      </c>
      <c r="EW38">
        <v>0.3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-722105518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2"/>
        <v>0</v>
      </c>
      <c r="GM38">
        <f t="shared" si="53"/>
        <v>6050717.7999999998</v>
      </c>
      <c r="GN38">
        <f t="shared" si="54"/>
        <v>0</v>
      </c>
      <c r="GO38">
        <f t="shared" si="55"/>
        <v>0</v>
      </c>
      <c r="GP38">
        <f t="shared" si="56"/>
        <v>6050717.7999999998</v>
      </c>
      <c r="GR38">
        <v>0</v>
      </c>
      <c r="GS38">
        <v>3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5">
      <c r="A39">
        <v>17</v>
      </c>
      <c r="B39">
        <v>1</v>
      </c>
      <c r="C39">
        <f>ROW(SmtRes!A11)</f>
        <v>11</v>
      </c>
      <c r="D39">
        <f>ROW(EtalonRes!A11)</f>
        <v>11</v>
      </c>
      <c r="E39" t="s">
        <v>54</v>
      </c>
      <c r="F39" t="s">
        <v>55</v>
      </c>
      <c r="G39" t="s">
        <v>56</v>
      </c>
      <c r="H39" t="s">
        <v>29</v>
      </c>
      <c r="I39">
        <f>ROUND(1587.3/100,9)</f>
        <v>15.872999999999999</v>
      </c>
      <c r="J39">
        <v>0</v>
      </c>
      <c r="K39">
        <f>ROUND(1587.3/100,9)</f>
        <v>15.872999999999999</v>
      </c>
      <c r="O39">
        <f t="shared" si="28"/>
        <v>346688.54</v>
      </c>
      <c r="P39">
        <f t="shared" si="29"/>
        <v>0</v>
      </c>
      <c r="Q39">
        <f t="shared" si="30"/>
        <v>0</v>
      </c>
      <c r="R39">
        <f t="shared" si="31"/>
        <v>0</v>
      </c>
      <c r="S39">
        <f t="shared" si="32"/>
        <v>346688.54</v>
      </c>
      <c r="T39">
        <f t="shared" si="33"/>
        <v>0</v>
      </c>
      <c r="U39">
        <f t="shared" si="34"/>
        <v>765.07860000000005</v>
      </c>
      <c r="V39">
        <f t="shared" si="35"/>
        <v>0</v>
      </c>
      <c r="W39">
        <f t="shared" si="36"/>
        <v>0</v>
      </c>
      <c r="X39">
        <f t="shared" si="37"/>
        <v>242681.98</v>
      </c>
      <c r="Y39">
        <f t="shared" si="38"/>
        <v>34668.85</v>
      </c>
      <c r="AA39">
        <v>80891185</v>
      </c>
      <c r="AB39">
        <f t="shared" si="39"/>
        <v>21841.4</v>
      </c>
      <c r="AC39">
        <f>ROUND(((ES39*20)),6)</f>
        <v>0</v>
      </c>
      <c r="AD39">
        <f>ROUND(((((ET39*20))-((EU39*20)))+AE39),6)</f>
        <v>0</v>
      </c>
      <c r="AE39">
        <f>ROUND(((EU39*20)),6)</f>
        <v>0</v>
      </c>
      <c r="AF39">
        <f>ROUND(((EV39*20)),6)</f>
        <v>21841.4</v>
      </c>
      <c r="AG39">
        <f t="shared" si="40"/>
        <v>0</v>
      </c>
      <c r="AH39">
        <f>((EW39*20))</f>
        <v>48.2</v>
      </c>
      <c r="AI39">
        <f>((EX39*20))</f>
        <v>0</v>
      </c>
      <c r="AJ39">
        <f t="shared" si="41"/>
        <v>0</v>
      </c>
      <c r="AK39">
        <v>1092.07</v>
      </c>
      <c r="AL39">
        <v>0</v>
      </c>
      <c r="AM39">
        <v>0</v>
      </c>
      <c r="AN39">
        <v>0</v>
      </c>
      <c r="AO39">
        <v>1092.07</v>
      </c>
      <c r="AP39">
        <v>0</v>
      </c>
      <c r="AQ39">
        <v>2.41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57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346688.54</v>
      </c>
      <c r="CQ39">
        <f t="shared" si="43"/>
        <v>0</v>
      </c>
      <c r="CR39">
        <f>(((((ET39*20))*BB39-((EU39*20))*BS39)+AE39*BS39)*AV39)</f>
        <v>0</v>
      </c>
      <c r="CS39">
        <f t="shared" si="44"/>
        <v>0</v>
      </c>
      <c r="CT39">
        <f t="shared" si="45"/>
        <v>21841.4</v>
      </c>
      <c r="CU39">
        <f t="shared" si="46"/>
        <v>0</v>
      </c>
      <c r="CV39">
        <f t="shared" si="47"/>
        <v>48.2</v>
      </c>
      <c r="CW39">
        <f t="shared" si="48"/>
        <v>0</v>
      </c>
      <c r="CX39">
        <f t="shared" si="49"/>
        <v>0</v>
      </c>
      <c r="CY39">
        <f t="shared" si="50"/>
        <v>242681.97799999997</v>
      </c>
      <c r="CZ39">
        <f t="shared" si="51"/>
        <v>34668.853999999999</v>
      </c>
      <c r="DC39" t="s">
        <v>3</v>
      </c>
      <c r="DD39" t="s">
        <v>58</v>
      </c>
      <c r="DE39" t="s">
        <v>58</v>
      </c>
      <c r="DF39" t="s">
        <v>58</v>
      </c>
      <c r="DG39" t="s">
        <v>58</v>
      </c>
      <c r="DH39" t="s">
        <v>3</v>
      </c>
      <c r="DI39" t="s">
        <v>58</v>
      </c>
      <c r="DJ39" t="s">
        <v>58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29</v>
      </c>
      <c r="DW39" t="s">
        <v>29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0</v>
      </c>
      <c r="ER39">
        <v>1092.07</v>
      </c>
      <c r="ES39">
        <v>0</v>
      </c>
      <c r="ET39">
        <v>0</v>
      </c>
      <c r="EU39">
        <v>0</v>
      </c>
      <c r="EV39">
        <v>1092.07</v>
      </c>
      <c r="EW39">
        <v>2.41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1681224467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624039.37</v>
      </c>
      <c r="GN39">
        <f t="shared" si="54"/>
        <v>0</v>
      </c>
      <c r="GO39">
        <f t="shared" si="55"/>
        <v>0</v>
      </c>
      <c r="GP39">
        <f t="shared" si="56"/>
        <v>624039.37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5">
      <c r="A40">
        <v>17</v>
      </c>
      <c r="B40">
        <v>1</v>
      </c>
      <c r="C40">
        <f>ROW(SmtRes!A13)</f>
        <v>13</v>
      </c>
      <c r="D40">
        <f>ROW(EtalonRes!A13)</f>
        <v>13</v>
      </c>
      <c r="E40" t="s">
        <v>59</v>
      </c>
      <c r="F40" t="s">
        <v>60</v>
      </c>
      <c r="G40" t="s">
        <v>61</v>
      </c>
      <c r="H40" t="s">
        <v>39</v>
      </c>
      <c r="I40">
        <v>28571.67</v>
      </c>
      <c r="J40">
        <v>0</v>
      </c>
      <c r="K40">
        <v>28571.67</v>
      </c>
      <c r="O40">
        <f t="shared" si="28"/>
        <v>25161926.899999999</v>
      </c>
      <c r="P40">
        <f t="shared" si="29"/>
        <v>0</v>
      </c>
      <c r="Q40">
        <f t="shared" si="30"/>
        <v>20371600.710000001</v>
      </c>
      <c r="R40">
        <f t="shared" si="31"/>
        <v>9993227.3000000007</v>
      </c>
      <c r="S40">
        <f t="shared" si="32"/>
        <v>4790326.1900000004</v>
      </c>
      <c r="T40">
        <f t="shared" si="33"/>
        <v>0</v>
      </c>
      <c r="U40">
        <f t="shared" si="34"/>
        <v>10571.517899999999</v>
      </c>
      <c r="V40">
        <f t="shared" si="35"/>
        <v>0</v>
      </c>
      <c r="W40">
        <f t="shared" si="36"/>
        <v>0</v>
      </c>
      <c r="X40">
        <f t="shared" si="37"/>
        <v>3353228.33</v>
      </c>
      <c r="Y40">
        <f t="shared" si="38"/>
        <v>479032.62</v>
      </c>
      <c r="AA40">
        <v>80891185</v>
      </c>
      <c r="AB40">
        <f t="shared" si="39"/>
        <v>880.66</v>
      </c>
      <c r="AC40">
        <f>ROUND((ES40),6)</f>
        <v>0</v>
      </c>
      <c r="AD40">
        <f>ROUND((((ET40)-(EU40))+AE40),6)</f>
        <v>713</v>
      </c>
      <c r="AE40">
        <f>ROUND((EU40),6)</f>
        <v>349.76</v>
      </c>
      <c r="AF40">
        <f>ROUND((EV40),6)</f>
        <v>167.66</v>
      </c>
      <c r="AG40">
        <f t="shared" si="40"/>
        <v>0</v>
      </c>
      <c r="AH40">
        <f>(EW40)</f>
        <v>0.37</v>
      </c>
      <c r="AI40">
        <f>(EX40)</f>
        <v>0</v>
      </c>
      <c r="AJ40">
        <f t="shared" si="41"/>
        <v>0</v>
      </c>
      <c r="AK40">
        <v>880.66</v>
      </c>
      <c r="AL40">
        <v>0</v>
      </c>
      <c r="AM40">
        <v>713</v>
      </c>
      <c r="AN40">
        <v>349.76</v>
      </c>
      <c r="AO40">
        <v>167.66</v>
      </c>
      <c r="AP40">
        <v>0</v>
      </c>
      <c r="AQ40">
        <v>0.37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62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25161926.900000002</v>
      </c>
      <c r="CQ40">
        <f t="shared" si="43"/>
        <v>0</v>
      </c>
      <c r="CR40">
        <f>((((ET40)*BB40-(EU40)*BS40)+AE40*BS40)*AV40)</f>
        <v>713</v>
      </c>
      <c r="CS40">
        <f t="shared" si="44"/>
        <v>349.76</v>
      </c>
      <c r="CT40">
        <f t="shared" si="45"/>
        <v>167.66</v>
      </c>
      <c r="CU40">
        <f t="shared" si="46"/>
        <v>0</v>
      </c>
      <c r="CV40">
        <f t="shared" si="47"/>
        <v>0.37</v>
      </c>
      <c r="CW40">
        <f t="shared" si="48"/>
        <v>0</v>
      </c>
      <c r="CX40">
        <f t="shared" si="49"/>
        <v>0</v>
      </c>
      <c r="CY40">
        <f t="shared" si="50"/>
        <v>3353228.3330000001</v>
      </c>
      <c r="CZ40">
        <f t="shared" si="51"/>
        <v>479032.61900000006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1007</v>
      </c>
      <c r="DV40" t="s">
        <v>39</v>
      </c>
      <c r="DW40" t="s">
        <v>39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880.66</v>
      </c>
      <c r="ES40">
        <v>0</v>
      </c>
      <c r="ET40">
        <v>713</v>
      </c>
      <c r="EU40">
        <v>349.76</v>
      </c>
      <c r="EV40">
        <v>167.66</v>
      </c>
      <c r="EW40">
        <v>0.37</v>
      </c>
      <c r="EX40">
        <v>0</v>
      </c>
      <c r="EY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-730330233</v>
      </c>
      <c r="GG40">
        <v>2</v>
      </c>
      <c r="GH40">
        <v>1</v>
      </c>
      <c r="GI40">
        <v>-2</v>
      </c>
      <c r="GJ40">
        <v>0</v>
      </c>
      <c r="GK40">
        <f>ROUND(R40*(R12)/100,2)</f>
        <v>10792685.48</v>
      </c>
      <c r="GL40">
        <f t="shared" si="52"/>
        <v>0</v>
      </c>
      <c r="GM40">
        <f t="shared" si="53"/>
        <v>39786873.329999998</v>
      </c>
      <c r="GN40">
        <f t="shared" si="54"/>
        <v>0</v>
      </c>
      <c r="GO40">
        <f t="shared" si="55"/>
        <v>0</v>
      </c>
      <c r="GP40">
        <f t="shared" si="56"/>
        <v>39786873.329999998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5">
      <c r="A41">
        <v>17</v>
      </c>
      <c r="B41">
        <v>1</v>
      </c>
      <c r="C41">
        <f>ROW(SmtRes!A14)</f>
        <v>14</v>
      </c>
      <c r="D41">
        <f>ROW(EtalonRes!A14)</f>
        <v>14</v>
      </c>
      <c r="E41" t="s">
        <v>63</v>
      </c>
      <c r="F41" t="s">
        <v>64</v>
      </c>
      <c r="G41" t="s">
        <v>65</v>
      </c>
      <c r="H41" t="s">
        <v>39</v>
      </c>
      <c r="I41">
        <v>28571.67</v>
      </c>
      <c r="J41">
        <v>0</v>
      </c>
      <c r="K41">
        <v>28571.67</v>
      </c>
      <c r="O41">
        <f t="shared" si="28"/>
        <v>5392617</v>
      </c>
      <c r="P41">
        <f t="shared" si="29"/>
        <v>0</v>
      </c>
      <c r="Q41">
        <f t="shared" si="30"/>
        <v>5392617</v>
      </c>
      <c r="R41">
        <f t="shared" si="31"/>
        <v>2645165.21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80891185</v>
      </c>
      <c r="AB41">
        <f t="shared" si="39"/>
        <v>188.74</v>
      </c>
      <c r="AC41">
        <f>ROUND((ES41),6)</f>
        <v>0</v>
      </c>
      <c r="AD41">
        <f>ROUND((((ET41)-(EU41))+AE41),6)</f>
        <v>188.74</v>
      </c>
      <c r="AE41">
        <f>ROUND((EU41),6)</f>
        <v>92.58</v>
      </c>
      <c r="AF41">
        <f>ROUND((EV41),6)</f>
        <v>0</v>
      </c>
      <c r="AG41">
        <f t="shared" si="40"/>
        <v>0</v>
      </c>
      <c r="AH41">
        <f>(EW41)</f>
        <v>0</v>
      </c>
      <c r="AI41">
        <f>(EX41)</f>
        <v>0</v>
      </c>
      <c r="AJ41">
        <f t="shared" si="41"/>
        <v>0</v>
      </c>
      <c r="AK41">
        <v>188.74</v>
      </c>
      <c r="AL41">
        <v>0</v>
      </c>
      <c r="AM41">
        <v>188.74</v>
      </c>
      <c r="AN41">
        <v>92.58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66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5392617</v>
      </c>
      <c r="CQ41">
        <f t="shared" si="43"/>
        <v>0</v>
      </c>
      <c r="CR41">
        <f>((((ET41)*BB41-(EU41)*BS41)+AE41*BS41)*AV41)</f>
        <v>188.74</v>
      </c>
      <c r="CS41">
        <f t="shared" si="44"/>
        <v>92.58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1007</v>
      </c>
      <c r="DV41" t="s">
        <v>39</v>
      </c>
      <c r="DW41" t="s">
        <v>39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188.74</v>
      </c>
      <c r="ES41">
        <v>0</v>
      </c>
      <c r="ET41">
        <v>188.74</v>
      </c>
      <c r="EU41">
        <v>92.58</v>
      </c>
      <c r="EV41">
        <v>0</v>
      </c>
      <c r="EW41">
        <v>0</v>
      </c>
      <c r="EX41">
        <v>0</v>
      </c>
      <c r="EY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-290731089</v>
      </c>
      <c r="GG41">
        <v>2</v>
      </c>
      <c r="GH41">
        <v>1</v>
      </c>
      <c r="GI41">
        <v>-2</v>
      </c>
      <c r="GJ41">
        <v>0</v>
      </c>
      <c r="GK41">
        <f>ROUND(R41*(R12)/100,2)</f>
        <v>2856778.43</v>
      </c>
      <c r="GL41">
        <f t="shared" si="52"/>
        <v>0</v>
      </c>
      <c r="GM41">
        <f t="shared" si="53"/>
        <v>8249395.4299999997</v>
      </c>
      <c r="GN41">
        <f t="shared" si="54"/>
        <v>0</v>
      </c>
      <c r="GO41">
        <f t="shared" si="55"/>
        <v>0</v>
      </c>
      <c r="GP41">
        <f t="shared" si="56"/>
        <v>8249395.4299999997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5">
      <c r="A42">
        <v>17</v>
      </c>
      <c r="B42">
        <v>1</v>
      </c>
      <c r="C42">
        <f>ROW(SmtRes!A15)</f>
        <v>15</v>
      </c>
      <c r="D42">
        <f>ROW(EtalonRes!A15)</f>
        <v>15</v>
      </c>
      <c r="E42" t="s">
        <v>67</v>
      </c>
      <c r="F42" t="s">
        <v>68</v>
      </c>
      <c r="G42" t="s">
        <v>69</v>
      </c>
      <c r="H42" t="s">
        <v>29</v>
      </c>
      <c r="I42">
        <f>ROUND(3253.4/100,9)</f>
        <v>32.533999999999999</v>
      </c>
      <c r="J42">
        <v>0</v>
      </c>
      <c r="K42">
        <f>ROUND(3253.4/100,9)</f>
        <v>32.533999999999999</v>
      </c>
      <c r="O42">
        <f t="shared" si="28"/>
        <v>194593.99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194593.99</v>
      </c>
      <c r="T42">
        <f t="shared" si="33"/>
        <v>0</v>
      </c>
      <c r="U42">
        <f t="shared" si="34"/>
        <v>429.44879999999995</v>
      </c>
      <c r="V42">
        <f t="shared" si="35"/>
        <v>0</v>
      </c>
      <c r="W42">
        <f t="shared" si="36"/>
        <v>0</v>
      </c>
      <c r="X42">
        <f t="shared" si="37"/>
        <v>136215.79</v>
      </c>
      <c r="Y42">
        <f t="shared" si="38"/>
        <v>19459.400000000001</v>
      </c>
      <c r="AA42">
        <v>80891185</v>
      </c>
      <c r="AB42">
        <f t="shared" si="39"/>
        <v>5981.25</v>
      </c>
      <c r="AC42">
        <f>ROUND(((ES42*55)),6)</f>
        <v>0</v>
      </c>
      <c r="AD42">
        <f>ROUND(((((ET42*55))-((EU42*55)))+AE42),6)</f>
        <v>0</v>
      </c>
      <c r="AE42">
        <f>ROUND(((EU42*55)),6)</f>
        <v>0</v>
      </c>
      <c r="AF42">
        <f>ROUND(((EV42*55)),6)</f>
        <v>5981.25</v>
      </c>
      <c r="AG42">
        <f t="shared" si="40"/>
        <v>0</v>
      </c>
      <c r="AH42">
        <f>((EW42*55))</f>
        <v>13.2</v>
      </c>
      <c r="AI42">
        <f>((EX42*55))</f>
        <v>0</v>
      </c>
      <c r="AJ42">
        <f t="shared" si="41"/>
        <v>0</v>
      </c>
      <c r="AK42">
        <v>108.75</v>
      </c>
      <c r="AL42">
        <v>0</v>
      </c>
      <c r="AM42">
        <v>0</v>
      </c>
      <c r="AN42">
        <v>0</v>
      </c>
      <c r="AO42">
        <v>108.75</v>
      </c>
      <c r="AP42">
        <v>0</v>
      </c>
      <c r="AQ42">
        <v>0.24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70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194593.99</v>
      </c>
      <c r="CQ42">
        <f t="shared" si="43"/>
        <v>0</v>
      </c>
      <c r="CR42">
        <f>(((((ET42*55))*BB42-((EU42*55))*BS42)+AE42*BS42)*AV42)</f>
        <v>0</v>
      </c>
      <c r="CS42">
        <f t="shared" si="44"/>
        <v>0</v>
      </c>
      <c r="CT42">
        <f t="shared" si="45"/>
        <v>5981.25</v>
      </c>
      <c r="CU42">
        <f t="shared" si="46"/>
        <v>0</v>
      </c>
      <c r="CV42">
        <f t="shared" si="47"/>
        <v>13.2</v>
      </c>
      <c r="CW42">
        <f t="shared" si="48"/>
        <v>0</v>
      </c>
      <c r="CX42">
        <f t="shared" si="49"/>
        <v>0</v>
      </c>
      <c r="CY42">
        <f t="shared" si="50"/>
        <v>136215.79299999998</v>
      </c>
      <c r="CZ42">
        <f t="shared" si="51"/>
        <v>19459.398999999998</v>
      </c>
      <c r="DC42" t="s">
        <v>3</v>
      </c>
      <c r="DD42" t="s">
        <v>22</v>
      </c>
      <c r="DE42" t="s">
        <v>22</v>
      </c>
      <c r="DF42" t="s">
        <v>22</v>
      </c>
      <c r="DG42" t="s">
        <v>22</v>
      </c>
      <c r="DH42" t="s">
        <v>3</v>
      </c>
      <c r="DI42" t="s">
        <v>22</v>
      </c>
      <c r="DJ42" t="s">
        <v>22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1005</v>
      </c>
      <c r="DV42" t="s">
        <v>29</v>
      </c>
      <c r="DW42" t="s">
        <v>29</v>
      </c>
      <c r="DX42">
        <v>100</v>
      </c>
      <c r="DZ42" t="s">
        <v>3</v>
      </c>
      <c r="EA42" t="s">
        <v>3</v>
      </c>
      <c r="EB42" t="s">
        <v>3</v>
      </c>
      <c r="EC42" t="s">
        <v>3</v>
      </c>
      <c r="EE42">
        <v>80196140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108.75</v>
      </c>
      <c r="ES42">
        <v>0</v>
      </c>
      <c r="ET42">
        <v>0</v>
      </c>
      <c r="EU42">
        <v>0</v>
      </c>
      <c r="EV42">
        <v>108.75</v>
      </c>
      <c r="EW42">
        <v>0.24</v>
      </c>
      <c r="EX42">
        <v>0</v>
      </c>
      <c r="EY42">
        <v>0</v>
      </c>
      <c r="FQ42">
        <v>0</v>
      </c>
      <c r="FR42"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-2145585580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2"/>
        <v>0</v>
      </c>
      <c r="GM42">
        <f t="shared" si="53"/>
        <v>350269.18</v>
      </c>
      <c r="GN42">
        <f t="shared" si="54"/>
        <v>0</v>
      </c>
      <c r="GO42">
        <f t="shared" si="55"/>
        <v>0</v>
      </c>
      <c r="GP42">
        <f t="shared" si="56"/>
        <v>350269.18</v>
      </c>
      <c r="GR42">
        <v>0</v>
      </c>
      <c r="GS42">
        <v>3</v>
      </c>
      <c r="GT42">
        <v>0</v>
      </c>
      <c r="GU42" t="s">
        <v>3</v>
      </c>
      <c r="GV42">
        <f t="shared" si="57"/>
        <v>0</v>
      </c>
      <c r="GW42">
        <v>1</v>
      </c>
      <c r="GX42">
        <f t="shared" si="58"/>
        <v>0</v>
      </c>
      <c r="HA42">
        <v>0</v>
      </c>
      <c r="HB42">
        <v>0</v>
      </c>
      <c r="HC42">
        <f t="shared" si="59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3" spans="1:245" x14ac:dyDescent="0.25">
      <c r="A43">
        <v>17</v>
      </c>
      <c r="B43">
        <v>1</v>
      </c>
      <c r="C43">
        <f>ROW(SmtRes!A16)</f>
        <v>16</v>
      </c>
      <c r="D43">
        <f>ROW(EtalonRes!A16)</f>
        <v>16</v>
      </c>
      <c r="E43" t="s">
        <v>71</v>
      </c>
      <c r="F43" t="s">
        <v>72</v>
      </c>
      <c r="G43" t="s">
        <v>73</v>
      </c>
      <c r="H43" t="s">
        <v>74</v>
      </c>
      <c r="I43">
        <f>ROUND(1174.6/100,9)</f>
        <v>11.746</v>
      </c>
      <c r="J43">
        <v>0</v>
      </c>
      <c r="K43">
        <f>ROUND(1174.6/100,9)</f>
        <v>11.746</v>
      </c>
      <c r="O43">
        <f t="shared" si="28"/>
        <v>1115344.95</v>
      </c>
      <c r="P43">
        <f t="shared" si="29"/>
        <v>0</v>
      </c>
      <c r="Q43">
        <f t="shared" si="30"/>
        <v>0</v>
      </c>
      <c r="R43">
        <f t="shared" si="31"/>
        <v>0</v>
      </c>
      <c r="S43">
        <f t="shared" si="32"/>
        <v>1115344.95</v>
      </c>
      <c r="T43">
        <f t="shared" si="33"/>
        <v>0</v>
      </c>
      <c r="U43">
        <f t="shared" si="34"/>
        <v>2461.3743000000004</v>
      </c>
      <c r="V43">
        <f t="shared" si="35"/>
        <v>0</v>
      </c>
      <c r="W43">
        <f t="shared" si="36"/>
        <v>0</v>
      </c>
      <c r="X43">
        <f t="shared" si="37"/>
        <v>780741.47</v>
      </c>
      <c r="Y43">
        <f t="shared" si="38"/>
        <v>111534.5</v>
      </c>
      <c r="AA43">
        <v>80891185</v>
      </c>
      <c r="AB43">
        <f t="shared" si="39"/>
        <v>94955.3</v>
      </c>
      <c r="AC43">
        <f>ROUND(((ES43*55)),6)</f>
        <v>0</v>
      </c>
      <c r="AD43">
        <f>ROUND(((((ET43*55))-((EU43*55)))+AE43),6)</f>
        <v>0</v>
      </c>
      <c r="AE43">
        <f>ROUND(((EU43*55)),6)</f>
        <v>0</v>
      </c>
      <c r="AF43">
        <f>ROUND(((EV43*55)),6)</f>
        <v>94955.3</v>
      </c>
      <c r="AG43">
        <f t="shared" si="40"/>
        <v>0</v>
      </c>
      <c r="AH43">
        <f>((EW43*55))</f>
        <v>209.55</v>
      </c>
      <c r="AI43">
        <f>((EX43*55))</f>
        <v>0</v>
      </c>
      <c r="AJ43">
        <f t="shared" si="41"/>
        <v>0</v>
      </c>
      <c r="AK43">
        <v>1726.46</v>
      </c>
      <c r="AL43">
        <v>0</v>
      </c>
      <c r="AM43">
        <v>0</v>
      </c>
      <c r="AN43">
        <v>0</v>
      </c>
      <c r="AO43">
        <v>1726.46</v>
      </c>
      <c r="AP43">
        <v>0</v>
      </c>
      <c r="AQ43">
        <v>3.81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75</v>
      </c>
      <c r="BM43">
        <v>0</v>
      </c>
      <c r="BN43">
        <v>0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1115344.95</v>
      </c>
      <c r="CQ43">
        <f t="shared" si="43"/>
        <v>0</v>
      </c>
      <c r="CR43">
        <f>(((((ET43*55))*BB43-((EU43*55))*BS43)+AE43*BS43)*AV43)</f>
        <v>0</v>
      </c>
      <c r="CS43">
        <f t="shared" si="44"/>
        <v>0</v>
      </c>
      <c r="CT43">
        <f t="shared" si="45"/>
        <v>94955.3</v>
      </c>
      <c r="CU43">
        <f t="shared" si="46"/>
        <v>0</v>
      </c>
      <c r="CV43">
        <f t="shared" si="47"/>
        <v>209.55</v>
      </c>
      <c r="CW43">
        <f t="shared" si="48"/>
        <v>0</v>
      </c>
      <c r="CX43">
        <f t="shared" si="49"/>
        <v>0</v>
      </c>
      <c r="CY43">
        <f t="shared" si="50"/>
        <v>780741.46499999997</v>
      </c>
      <c r="CZ43">
        <f t="shared" si="51"/>
        <v>111534.495</v>
      </c>
      <c r="DC43" t="s">
        <v>3</v>
      </c>
      <c r="DD43" t="s">
        <v>22</v>
      </c>
      <c r="DE43" t="s">
        <v>22</v>
      </c>
      <c r="DF43" t="s">
        <v>22</v>
      </c>
      <c r="DG43" t="s">
        <v>22</v>
      </c>
      <c r="DH43" t="s">
        <v>3</v>
      </c>
      <c r="DI43" t="s">
        <v>22</v>
      </c>
      <c r="DJ43" t="s">
        <v>22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74</v>
      </c>
      <c r="DW43" t="s">
        <v>74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80196140</v>
      </c>
      <c r="EF43">
        <v>1</v>
      </c>
      <c r="EG43" t="s">
        <v>23</v>
      </c>
      <c r="EH43">
        <v>0</v>
      </c>
      <c r="EI43" t="s">
        <v>3</v>
      </c>
      <c r="EJ43">
        <v>4</v>
      </c>
      <c r="EK43">
        <v>0</v>
      </c>
      <c r="EL43" t="s">
        <v>24</v>
      </c>
      <c r="EM43" t="s">
        <v>25</v>
      </c>
      <c r="EO43" t="s">
        <v>3</v>
      </c>
      <c r="EQ43">
        <v>0</v>
      </c>
      <c r="ER43">
        <v>1726.46</v>
      </c>
      <c r="ES43">
        <v>0</v>
      </c>
      <c r="ET43">
        <v>0</v>
      </c>
      <c r="EU43">
        <v>0</v>
      </c>
      <c r="EV43">
        <v>1726.46</v>
      </c>
      <c r="EW43">
        <v>3.81</v>
      </c>
      <c r="EX43">
        <v>0</v>
      </c>
      <c r="EY43">
        <v>0</v>
      </c>
      <c r="FQ43">
        <v>0</v>
      </c>
      <c r="FR43"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-1160174760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2"/>
        <v>0</v>
      </c>
      <c r="GM43">
        <f t="shared" si="53"/>
        <v>2007620.92</v>
      </c>
      <c r="GN43">
        <f t="shared" si="54"/>
        <v>0</v>
      </c>
      <c r="GO43">
        <f t="shared" si="55"/>
        <v>0</v>
      </c>
      <c r="GP43">
        <f t="shared" si="56"/>
        <v>2007620.92</v>
      </c>
      <c r="GR43">
        <v>0</v>
      </c>
      <c r="GS43">
        <v>3</v>
      </c>
      <c r="GT43">
        <v>0</v>
      </c>
      <c r="GU43" t="s">
        <v>3</v>
      </c>
      <c r="GV43">
        <f t="shared" si="57"/>
        <v>0</v>
      </c>
      <c r="GW43">
        <v>1</v>
      </c>
      <c r="GX43">
        <f t="shared" si="58"/>
        <v>0</v>
      </c>
      <c r="HA43">
        <v>0</v>
      </c>
      <c r="HB43">
        <v>0</v>
      </c>
      <c r="HC43">
        <f t="shared" si="59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HS43">
        <v>0</v>
      </c>
      <c r="IK43">
        <v>0</v>
      </c>
    </row>
    <row r="44" spans="1:245" x14ac:dyDescent="0.25">
      <c r="A44">
        <v>17</v>
      </c>
      <c r="B44">
        <v>1</v>
      </c>
      <c r="C44">
        <f>ROW(SmtRes!A17)</f>
        <v>17</v>
      </c>
      <c r="D44">
        <f>ROW(EtalonRes!A17)</f>
        <v>17</v>
      </c>
      <c r="E44" t="s">
        <v>76</v>
      </c>
      <c r="F44" t="s">
        <v>77</v>
      </c>
      <c r="G44" t="s">
        <v>78</v>
      </c>
      <c r="H44" t="s">
        <v>29</v>
      </c>
      <c r="I44">
        <v>0.8256</v>
      </c>
      <c r="J44">
        <v>0</v>
      </c>
      <c r="K44">
        <v>0.8256</v>
      </c>
      <c r="O44">
        <f t="shared" si="28"/>
        <v>52562.65</v>
      </c>
      <c r="P44">
        <f t="shared" si="29"/>
        <v>0</v>
      </c>
      <c r="Q44">
        <f t="shared" si="30"/>
        <v>0</v>
      </c>
      <c r="R44">
        <f t="shared" si="31"/>
        <v>0</v>
      </c>
      <c r="S44">
        <f t="shared" si="32"/>
        <v>52562.65</v>
      </c>
      <c r="T44">
        <f t="shared" si="33"/>
        <v>0</v>
      </c>
      <c r="U44">
        <f t="shared" si="34"/>
        <v>115.99679999999999</v>
      </c>
      <c r="V44">
        <f t="shared" si="35"/>
        <v>0</v>
      </c>
      <c r="W44">
        <f t="shared" si="36"/>
        <v>0</v>
      </c>
      <c r="X44">
        <f t="shared" si="37"/>
        <v>36793.86</v>
      </c>
      <c r="Y44">
        <f t="shared" si="38"/>
        <v>5256.27</v>
      </c>
      <c r="AA44">
        <v>80891185</v>
      </c>
      <c r="AB44">
        <f t="shared" si="39"/>
        <v>63666</v>
      </c>
      <c r="AC44">
        <f>ROUND(((ES44*50)),6)</f>
        <v>0</v>
      </c>
      <c r="AD44">
        <f>ROUND(((((ET44*50))-((EU44*50)))+AE44),6)</f>
        <v>0</v>
      </c>
      <c r="AE44">
        <f>ROUND(((EU44*50)),6)</f>
        <v>0</v>
      </c>
      <c r="AF44">
        <f>ROUND(((EV44*50)),6)</f>
        <v>63666</v>
      </c>
      <c r="AG44">
        <f t="shared" si="40"/>
        <v>0</v>
      </c>
      <c r="AH44">
        <f>((EW44*50))</f>
        <v>140.5</v>
      </c>
      <c r="AI44">
        <f>((EX44*50))</f>
        <v>0</v>
      </c>
      <c r="AJ44">
        <f t="shared" si="41"/>
        <v>0</v>
      </c>
      <c r="AK44">
        <v>1273.32</v>
      </c>
      <c r="AL44">
        <v>0</v>
      </c>
      <c r="AM44">
        <v>0</v>
      </c>
      <c r="AN44">
        <v>0</v>
      </c>
      <c r="AO44">
        <v>1273.32</v>
      </c>
      <c r="AP44">
        <v>0</v>
      </c>
      <c r="AQ44">
        <v>2.81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79</v>
      </c>
      <c r="BM44">
        <v>0</v>
      </c>
      <c r="BN44">
        <v>0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52562.65</v>
      </c>
      <c r="CQ44">
        <f t="shared" si="43"/>
        <v>0</v>
      </c>
      <c r="CR44">
        <f>(((((ET44*50))*BB44-((EU44*50))*BS44)+AE44*BS44)*AV44)</f>
        <v>0</v>
      </c>
      <c r="CS44">
        <f t="shared" si="44"/>
        <v>0</v>
      </c>
      <c r="CT44">
        <f t="shared" si="45"/>
        <v>63666</v>
      </c>
      <c r="CU44">
        <f t="shared" si="46"/>
        <v>0</v>
      </c>
      <c r="CV44">
        <f t="shared" si="47"/>
        <v>140.5</v>
      </c>
      <c r="CW44">
        <f t="shared" si="48"/>
        <v>0</v>
      </c>
      <c r="CX44">
        <f t="shared" si="49"/>
        <v>0</v>
      </c>
      <c r="CY44">
        <f t="shared" si="50"/>
        <v>36793.855000000003</v>
      </c>
      <c r="CZ44">
        <f t="shared" si="51"/>
        <v>5256.2650000000003</v>
      </c>
      <c r="DC44" t="s">
        <v>3</v>
      </c>
      <c r="DD44" t="s">
        <v>49</v>
      </c>
      <c r="DE44" t="s">
        <v>49</v>
      </c>
      <c r="DF44" t="s">
        <v>49</v>
      </c>
      <c r="DG44" t="s">
        <v>49</v>
      </c>
      <c r="DH44" t="s">
        <v>3</v>
      </c>
      <c r="DI44" t="s">
        <v>49</v>
      </c>
      <c r="DJ44" t="s">
        <v>49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1005</v>
      </c>
      <c r="DV44" t="s">
        <v>29</v>
      </c>
      <c r="DW44" t="s">
        <v>29</v>
      </c>
      <c r="DX44">
        <v>100</v>
      </c>
      <c r="DZ44" t="s">
        <v>3</v>
      </c>
      <c r="EA44" t="s">
        <v>3</v>
      </c>
      <c r="EB44" t="s">
        <v>3</v>
      </c>
      <c r="EC44" t="s">
        <v>3</v>
      </c>
      <c r="EE44">
        <v>80196140</v>
      </c>
      <c r="EF44">
        <v>1</v>
      </c>
      <c r="EG44" t="s">
        <v>23</v>
      </c>
      <c r="EH44">
        <v>0</v>
      </c>
      <c r="EI44" t="s">
        <v>3</v>
      </c>
      <c r="EJ44">
        <v>4</v>
      </c>
      <c r="EK44">
        <v>0</v>
      </c>
      <c r="EL44" t="s">
        <v>24</v>
      </c>
      <c r="EM44" t="s">
        <v>25</v>
      </c>
      <c r="EO44" t="s">
        <v>3</v>
      </c>
      <c r="EQ44">
        <v>0</v>
      </c>
      <c r="ER44">
        <v>1273.32</v>
      </c>
      <c r="ES44">
        <v>0</v>
      </c>
      <c r="ET44">
        <v>0</v>
      </c>
      <c r="EU44">
        <v>0</v>
      </c>
      <c r="EV44">
        <v>1273.32</v>
      </c>
      <c r="EW44">
        <v>2.81</v>
      </c>
      <c r="EX44">
        <v>0</v>
      </c>
      <c r="EY44">
        <v>0</v>
      </c>
      <c r="FQ44">
        <v>0</v>
      </c>
      <c r="FR44"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311426849</v>
      </c>
      <c r="GG44">
        <v>2</v>
      </c>
      <c r="GH44">
        <v>1</v>
      </c>
      <c r="GI44">
        <v>-2</v>
      </c>
      <c r="GJ44">
        <v>0</v>
      </c>
      <c r="GK44">
        <f>ROUND(R44*(R12)/100,2)</f>
        <v>0</v>
      </c>
      <c r="GL44">
        <f t="shared" si="52"/>
        <v>0</v>
      </c>
      <c r="GM44">
        <f t="shared" si="53"/>
        <v>94612.78</v>
      </c>
      <c r="GN44">
        <f t="shared" si="54"/>
        <v>0</v>
      </c>
      <c r="GO44">
        <f t="shared" si="55"/>
        <v>0</v>
      </c>
      <c r="GP44">
        <f t="shared" si="56"/>
        <v>94612.78</v>
      </c>
      <c r="GR44">
        <v>0</v>
      </c>
      <c r="GS44">
        <v>3</v>
      </c>
      <c r="GT44">
        <v>0</v>
      </c>
      <c r="GU44" t="s">
        <v>3</v>
      </c>
      <c r="GV44">
        <f t="shared" si="57"/>
        <v>0</v>
      </c>
      <c r="GW44">
        <v>1</v>
      </c>
      <c r="GX44">
        <f t="shared" si="58"/>
        <v>0</v>
      </c>
      <c r="HA44">
        <v>0</v>
      </c>
      <c r="HB44">
        <v>0</v>
      </c>
      <c r="HC44">
        <f t="shared" si="59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HS44">
        <v>0</v>
      </c>
      <c r="IK44">
        <v>0</v>
      </c>
    </row>
    <row r="45" spans="1:245" x14ac:dyDescent="0.25">
      <c r="A45">
        <v>17</v>
      </c>
      <c r="B45">
        <v>1</v>
      </c>
      <c r="C45">
        <f>ROW(SmtRes!A19)</f>
        <v>19</v>
      </c>
      <c r="D45">
        <f>ROW(EtalonRes!A19)</f>
        <v>19</v>
      </c>
      <c r="E45" t="s">
        <v>80</v>
      </c>
      <c r="F45" t="s">
        <v>81</v>
      </c>
      <c r="G45" t="s">
        <v>82</v>
      </c>
      <c r="H45" t="s">
        <v>83</v>
      </c>
      <c r="I45">
        <v>0.5</v>
      </c>
      <c r="J45">
        <v>0</v>
      </c>
      <c r="K45">
        <v>0.5</v>
      </c>
      <c r="O45">
        <f t="shared" si="28"/>
        <v>113466.81</v>
      </c>
      <c r="P45">
        <f t="shared" si="29"/>
        <v>22825</v>
      </c>
      <c r="Q45">
        <f t="shared" si="30"/>
        <v>0</v>
      </c>
      <c r="R45">
        <f t="shared" si="31"/>
        <v>0</v>
      </c>
      <c r="S45">
        <f t="shared" si="32"/>
        <v>90641.81</v>
      </c>
      <c r="T45">
        <f t="shared" si="33"/>
        <v>0</v>
      </c>
      <c r="U45">
        <f t="shared" si="34"/>
        <v>200.03</v>
      </c>
      <c r="V45">
        <f t="shared" si="35"/>
        <v>0</v>
      </c>
      <c r="W45">
        <f t="shared" si="36"/>
        <v>0</v>
      </c>
      <c r="X45">
        <f t="shared" si="37"/>
        <v>63449.27</v>
      </c>
      <c r="Y45">
        <f t="shared" si="38"/>
        <v>9064.18</v>
      </c>
      <c r="AA45">
        <v>80891185</v>
      </c>
      <c r="AB45">
        <f t="shared" si="39"/>
        <v>226933.62</v>
      </c>
      <c r="AC45">
        <f>ROUND(((ES45*166)),6)</f>
        <v>45650</v>
      </c>
      <c r="AD45">
        <f>ROUND(((((ET45*166))-((EU45*166)))+AE45),6)</f>
        <v>0</v>
      </c>
      <c r="AE45">
        <f>ROUND(((EU45*166)),6)</f>
        <v>0</v>
      </c>
      <c r="AF45">
        <f>ROUND(((EV45*166)),6)</f>
        <v>181283.62</v>
      </c>
      <c r="AG45">
        <f t="shared" si="40"/>
        <v>0</v>
      </c>
      <c r="AH45">
        <f>((EW45*166))</f>
        <v>400.06</v>
      </c>
      <c r="AI45">
        <f>((EX45*166))</f>
        <v>0</v>
      </c>
      <c r="AJ45">
        <f t="shared" si="41"/>
        <v>0</v>
      </c>
      <c r="AK45">
        <v>1367.07</v>
      </c>
      <c r="AL45">
        <v>275</v>
      </c>
      <c r="AM45">
        <v>0</v>
      </c>
      <c r="AN45">
        <v>0</v>
      </c>
      <c r="AO45">
        <v>1092.07</v>
      </c>
      <c r="AP45">
        <v>0</v>
      </c>
      <c r="AQ45">
        <v>2.41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84</v>
      </c>
      <c r="BM45">
        <v>0</v>
      </c>
      <c r="BN45">
        <v>0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113466.81</v>
      </c>
      <c r="CQ45">
        <f t="shared" si="43"/>
        <v>45650</v>
      </c>
      <c r="CR45">
        <f>(((((ET45*166))*BB45-((EU45*166))*BS45)+AE45*BS45)*AV45)</f>
        <v>0</v>
      </c>
      <c r="CS45">
        <f t="shared" si="44"/>
        <v>0</v>
      </c>
      <c r="CT45">
        <f t="shared" si="45"/>
        <v>181283.62</v>
      </c>
      <c r="CU45">
        <f t="shared" si="46"/>
        <v>0</v>
      </c>
      <c r="CV45">
        <f t="shared" si="47"/>
        <v>400.06</v>
      </c>
      <c r="CW45">
        <f t="shared" si="48"/>
        <v>0</v>
      </c>
      <c r="CX45">
        <f t="shared" si="49"/>
        <v>0</v>
      </c>
      <c r="CY45">
        <f t="shared" si="50"/>
        <v>63449.267</v>
      </c>
      <c r="CZ45">
        <f t="shared" si="51"/>
        <v>9064.1810000000005</v>
      </c>
      <c r="DC45" t="s">
        <v>3</v>
      </c>
      <c r="DD45" t="s">
        <v>85</v>
      </c>
      <c r="DE45" t="s">
        <v>85</v>
      </c>
      <c r="DF45" t="s">
        <v>85</v>
      </c>
      <c r="DG45" t="s">
        <v>85</v>
      </c>
      <c r="DH45" t="s">
        <v>3</v>
      </c>
      <c r="DI45" t="s">
        <v>85</v>
      </c>
      <c r="DJ45" t="s">
        <v>85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83</v>
      </c>
      <c r="DW45" t="s">
        <v>83</v>
      </c>
      <c r="DX45">
        <v>100</v>
      </c>
      <c r="DZ45" t="s">
        <v>3</v>
      </c>
      <c r="EA45" t="s">
        <v>3</v>
      </c>
      <c r="EB45" t="s">
        <v>3</v>
      </c>
      <c r="EC45" t="s">
        <v>3</v>
      </c>
      <c r="EE45">
        <v>80196140</v>
      </c>
      <c r="EF45">
        <v>1</v>
      </c>
      <c r="EG45" t="s">
        <v>23</v>
      </c>
      <c r="EH45">
        <v>0</v>
      </c>
      <c r="EI45" t="s">
        <v>3</v>
      </c>
      <c r="EJ45">
        <v>4</v>
      </c>
      <c r="EK45">
        <v>0</v>
      </c>
      <c r="EL45" t="s">
        <v>24</v>
      </c>
      <c r="EM45" t="s">
        <v>25</v>
      </c>
      <c r="EO45" t="s">
        <v>3</v>
      </c>
      <c r="EQ45">
        <v>0</v>
      </c>
      <c r="ER45">
        <v>1367.07</v>
      </c>
      <c r="ES45">
        <v>275</v>
      </c>
      <c r="ET45">
        <v>0</v>
      </c>
      <c r="EU45">
        <v>0</v>
      </c>
      <c r="EV45">
        <v>1092.07</v>
      </c>
      <c r="EW45">
        <v>2.41</v>
      </c>
      <c r="EX45">
        <v>0</v>
      </c>
      <c r="EY45">
        <v>0</v>
      </c>
      <c r="FQ45">
        <v>0</v>
      </c>
      <c r="FR45"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1968377727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2"/>
        <v>0</v>
      </c>
      <c r="GM45">
        <f t="shared" si="53"/>
        <v>185980.26</v>
      </c>
      <c r="GN45">
        <f t="shared" si="54"/>
        <v>0</v>
      </c>
      <c r="GO45">
        <f t="shared" si="55"/>
        <v>0</v>
      </c>
      <c r="GP45">
        <f t="shared" si="56"/>
        <v>185980.26</v>
      </c>
      <c r="GR45">
        <v>0</v>
      </c>
      <c r="GS45">
        <v>3</v>
      </c>
      <c r="GT45">
        <v>0</v>
      </c>
      <c r="GU45" t="s">
        <v>3</v>
      </c>
      <c r="GV45">
        <f t="shared" si="57"/>
        <v>0</v>
      </c>
      <c r="GW45">
        <v>1</v>
      </c>
      <c r="GX45">
        <f t="shared" si="58"/>
        <v>0</v>
      </c>
      <c r="HA45">
        <v>0</v>
      </c>
      <c r="HB45">
        <v>0</v>
      </c>
      <c r="HC45">
        <f t="shared" si="59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HS45">
        <v>0</v>
      </c>
      <c r="IK45">
        <v>0</v>
      </c>
    </row>
    <row r="46" spans="1:245" x14ac:dyDescent="0.25">
      <c r="A46">
        <v>17</v>
      </c>
      <c r="B46">
        <v>1</v>
      </c>
      <c r="C46">
        <f>ROW(SmtRes!A20)</f>
        <v>20</v>
      </c>
      <c r="D46">
        <f>ROW(EtalonRes!A20)</f>
        <v>20</v>
      </c>
      <c r="E46" t="s">
        <v>86</v>
      </c>
      <c r="F46" t="s">
        <v>87</v>
      </c>
      <c r="G46" t="s">
        <v>88</v>
      </c>
      <c r="H46" t="s">
        <v>39</v>
      </c>
      <c r="I46">
        <v>4537.1400000000003</v>
      </c>
      <c r="J46">
        <v>0</v>
      </c>
      <c r="K46">
        <v>4537.1400000000003</v>
      </c>
      <c r="O46">
        <f t="shared" si="28"/>
        <v>472860.73</v>
      </c>
      <c r="P46">
        <f t="shared" si="29"/>
        <v>0</v>
      </c>
      <c r="Q46">
        <f t="shared" si="30"/>
        <v>0</v>
      </c>
      <c r="R46">
        <f t="shared" si="31"/>
        <v>0</v>
      </c>
      <c r="S46">
        <f t="shared" si="32"/>
        <v>472860.73</v>
      </c>
      <c r="T46">
        <f t="shared" si="33"/>
        <v>0</v>
      </c>
      <c r="U46">
        <f t="shared" si="34"/>
        <v>1043.5422000000001</v>
      </c>
      <c r="V46">
        <f t="shared" si="35"/>
        <v>0</v>
      </c>
      <c r="W46">
        <f t="shared" si="36"/>
        <v>0</v>
      </c>
      <c r="X46">
        <f t="shared" si="37"/>
        <v>331002.51</v>
      </c>
      <c r="Y46">
        <f t="shared" si="38"/>
        <v>47286.07</v>
      </c>
      <c r="AA46">
        <v>80891185</v>
      </c>
      <c r="AB46">
        <f t="shared" si="39"/>
        <v>104.22</v>
      </c>
      <c r="AC46">
        <f>ROUND((ES46),6)</f>
        <v>0</v>
      </c>
      <c r="AD46">
        <f>ROUND((((ET46)-(EU46))+AE46),6)</f>
        <v>0</v>
      </c>
      <c r="AE46">
        <f>ROUND((EU46),6)</f>
        <v>0</v>
      </c>
      <c r="AF46">
        <f>ROUND((EV46),6)</f>
        <v>104.22</v>
      </c>
      <c r="AG46">
        <f t="shared" si="40"/>
        <v>0</v>
      </c>
      <c r="AH46">
        <f>(EW46)</f>
        <v>0.23</v>
      </c>
      <c r="AI46">
        <f>(EX46)</f>
        <v>0</v>
      </c>
      <c r="AJ46">
        <f t="shared" si="41"/>
        <v>0</v>
      </c>
      <c r="AK46">
        <v>104.22</v>
      </c>
      <c r="AL46">
        <v>0</v>
      </c>
      <c r="AM46">
        <v>0</v>
      </c>
      <c r="AN46">
        <v>0</v>
      </c>
      <c r="AO46">
        <v>104.22</v>
      </c>
      <c r="AP46">
        <v>0</v>
      </c>
      <c r="AQ46">
        <v>0.23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89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472860.73</v>
      </c>
      <c r="CQ46">
        <f t="shared" si="43"/>
        <v>0</v>
      </c>
      <c r="CR46">
        <f>((((ET46)*BB46-(EU46)*BS46)+AE46*BS46)*AV46)</f>
        <v>0</v>
      </c>
      <c r="CS46">
        <f t="shared" si="44"/>
        <v>0</v>
      </c>
      <c r="CT46">
        <f t="shared" si="45"/>
        <v>104.22</v>
      </c>
      <c r="CU46">
        <f t="shared" si="46"/>
        <v>0</v>
      </c>
      <c r="CV46">
        <f t="shared" si="47"/>
        <v>0.23</v>
      </c>
      <c r="CW46">
        <f t="shared" si="48"/>
        <v>0</v>
      </c>
      <c r="CX46">
        <f t="shared" si="49"/>
        <v>0</v>
      </c>
      <c r="CY46">
        <f t="shared" si="50"/>
        <v>331002.511</v>
      </c>
      <c r="CZ46">
        <f t="shared" si="51"/>
        <v>47286.072999999997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1007</v>
      </c>
      <c r="DV46" t="s">
        <v>39</v>
      </c>
      <c r="DW46" t="s">
        <v>39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80196140</v>
      </c>
      <c r="EF46">
        <v>1</v>
      </c>
      <c r="EG46" t="s">
        <v>23</v>
      </c>
      <c r="EH46">
        <v>0</v>
      </c>
      <c r="EI46" t="s">
        <v>3</v>
      </c>
      <c r="EJ46">
        <v>4</v>
      </c>
      <c r="EK46">
        <v>0</v>
      </c>
      <c r="EL46" t="s">
        <v>24</v>
      </c>
      <c r="EM46" t="s">
        <v>25</v>
      </c>
      <c r="EO46" t="s">
        <v>3</v>
      </c>
      <c r="EQ46">
        <v>0</v>
      </c>
      <c r="ER46">
        <v>104.22</v>
      </c>
      <c r="ES46">
        <v>0</v>
      </c>
      <c r="ET46">
        <v>0</v>
      </c>
      <c r="EU46">
        <v>0</v>
      </c>
      <c r="EV46">
        <v>104.22</v>
      </c>
      <c r="EW46">
        <v>0.23</v>
      </c>
      <c r="EX46">
        <v>0</v>
      </c>
      <c r="EY46">
        <v>0</v>
      </c>
      <c r="FQ46">
        <v>0</v>
      </c>
      <c r="FR46"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-315017045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2"/>
        <v>0</v>
      </c>
      <c r="GM46">
        <f t="shared" si="53"/>
        <v>851149.31</v>
      </c>
      <c r="GN46">
        <f t="shared" si="54"/>
        <v>0</v>
      </c>
      <c r="GO46">
        <f t="shared" si="55"/>
        <v>0</v>
      </c>
      <c r="GP46">
        <f t="shared" si="56"/>
        <v>851149.31</v>
      </c>
      <c r="GR46">
        <v>0</v>
      </c>
      <c r="GS46">
        <v>3</v>
      </c>
      <c r="GT46">
        <v>0</v>
      </c>
      <c r="GU46" t="s">
        <v>3</v>
      </c>
      <c r="GV46">
        <f t="shared" si="57"/>
        <v>0</v>
      </c>
      <c r="GW46">
        <v>1</v>
      </c>
      <c r="GX46">
        <f t="shared" si="58"/>
        <v>0</v>
      </c>
      <c r="HA46">
        <v>0</v>
      </c>
      <c r="HB46">
        <v>0</v>
      </c>
      <c r="HC46">
        <f t="shared" si="59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HS46">
        <v>0</v>
      </c>
      <c r="IK46">
        <v>0</v>
      </c>
    </row>
    <row r="47" spans="1:245" x14ac:dyDescent="0.25">
      <c r="A47">
        <v>17</v>
      </c>
      <c r="B47">
        <v>1</v>
      </c>
      <c r="C47">
        <f>ROW(SmtRes!A21)</f>
        <v>21</v>
      </c>
      <c r="D47">
        <f>ROW(EtalonRes!A21)</f>
        <v>21</v>
      </c>
      <c r="E47" t="s">
        <v>90</v>
      </c>
      <c r="F47" t="s">
        <v>91</v>
      </c>
      <c r="G47" t="s">
        <v>92</v>
      </c>
      <c r="H47" t="s">
        <v>29</v>
      </c>
      <c r="I47">
        <v>0.3</v>
      </c>
      <c r="J47">
        <v>0</v>
      </c>
      <c r="K47">
        <v>0.3</v>
      </c>
      <c r="O47">
        <f t="shared" si="28"/>
        <v>69729.960000000006</v>
      </c>
      <c r="P47">
        <f t="shared" si="29"/>
        <v>0</v>
      </c>
      <c r="Q47">
        <f t="shared" si="30"/>
        <v>0</v>
      </c>
      <c r="R47">
        <f t="shared" si="31"/>
        <v>0</v>
      </c>
      <c r="S47">
        <f t="shared" si="32"/>
        <v>69729.960000000006</v>
      </c>
      <c r="T47">
        <f t="shared" si="33"/>
        <v>0</v>
      </c>
      <c r="U47">
        <f t="shared" si="34"/>
        <v>153.88199999999998</v>
      </c>
      <c r="V47">
        <f t="shared" si="35"/>
        <v>0</v>
      </c>
      <c r="W47">
        <f t="shared" si="36"/>
        <v>0</v>
      </c>
      <c r="X47">
        <f t="shared" si="37"/>
        <v>48810.97</v>
      </c>
      <c r="Y47">
        <f t="shared" si="38"/>
        <v>6973</v>
      </c>
      <c r="AA47">
        <v>80891185</v>
      </c>
      <c r="AB47">
        <f t="shared" si="39"/>
        <v>232433.2</v>
      </c>
      <c r="AC47">
        <f>ROUND(((ES47*166)),6)</f>
        <v>0</v>
      </c>
      <c r="AD47">
        <f>ROUND(((((ET47*166))-((EU47*166)))+AE47),6)</f>
        <v>0</v>
      </c>
      <c r="AE47">
        <f>ROUND(((EU47*166)),6)</f>
        <v>0</v>
      </c>
      <c r="AF47">
        <f>ROUND(((EV47*166)),6)</f>
        <v>232433.2</v>
      </c>
      <c r="AG47">
        <f t="shared" si="40"/>
        <v>0</v>
      </c>
      <c r="AH47">
        <f>((EW47*166))</f>
        <v>512.93999999999994</v>
      </c>
      <c r="AI47">
        <f>((EX47*166))</f>
        <v>0</v>
      </c>
      <c r="AJ47">
        <f t="shared" si="41"/>
        <v>0</v>
      </c>
      <c r="AK47">
        <v>1400.2</v>
      </c>
      <c r="AL47">
        <v>0</v>
      </c>
      <c r="AM47">
        <v>0</v>
      </c>
      <c r="AN47">
        <v>0</v>
      </c>
      <c r="AO47">
        <v>1400.2</v>
      </c>
      <c r="AP47">
        <v>0</v>
      </c>
      <c r="AQ47">
        <v>3.09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93</v>
      </c>
      <c r="BM47">
        <v>0</v>
      </c>
      <c r="BN47">
        <v>0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69729.960000000006</v>
      </c>
      <c r="CQ47">
        <f t="shared" si="43"/>
        <v>0</v>
      </c>
      <c r="CR47">
        <f>(((((ET47*166))*BB47-((EU47*166))*BS47)+AE47*BS47)*AV47)</f>
        <v>0</v>
      </c>
      <c r="CS47">
        <f t="shared" si="44"/>
        <v>0</v>
      </c>
      <c r="CT47">
        <f t="shared" si="45"/>
        <v>232433.2</v>
      </c>
      <c r="CU47">
        <f t="shared" si="46"/>
        <v>0</v>
      </c>
      <c r="CV47">
        <f t="shared" si="47"/>
        <v>512.93999999999994</v>
      </c>
      <c r="CW47">
        <f t="shared" si="48"/>
        <v>0</v>
      </c>
      <c r="CX47">
        <f t="shared" si="49"/>
        <v>0</v>
      </c>
      <c r="CY47">
        <f t="shared" si="50"/>
        <v>48810.972000000002</v>
      </c>
      <c r="CZ47">
        <f t="shared" si="51"/>
        <v>6972.996000000001</v>
      </c>
      <c r="DC47" t="s">
        <v>3</v>
      </c>
      <c r="DD47" t="s">
        <v>85</v>
      </c>
      <c r="DE47" t="s">
        <v>85</v>
      </c>
      <c r="DF47" t="s">
        <v>85</v>
      </c>
      <c r="DG47" t="s">
        <v>85</v>
      </c>
      <c r="DH47" t="s">
        <v>3</v>
      </c>
      <c r="DI47" t="s">
        <v>85</v>
      </c>
      <c r="DJ47" t="s">
        <v>85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1005</v>
      </c>
      <c r="DV47" t="s">
        <v>29</v>
      </c>
      <c r="DW47" t="s">
        <v>29</v>
      </c>
      <c r="DX47">
        <v>100</v>
      </c>
      <c r="DZ47" t="s">
        <v>3</v>
      </c>
      <c r="EA47" t="s">
        <v>3</v>
      </c>
      <c r="EB47" t="s">
        <v>3</v>
      </c>
      <c r="EC47" t="s">
        <v>3</v>
      </c>
      <c r="EE47">
        <v>80196140</v>
      </c>
      <c r="EF47">
        <v>1</v>
      </c>
      <c r="EG47" t="s">
        <v>23</v>
      </c>
      <c r="EH47">
        <v>0</v>
      </c>
      <c r="EI47" t="s">
        <v>3</v>
      </c>
      <c r="EJ47">
        <v>4</v>
      </c>
      <c r="EK47">
        <v>0</v>
      </c>
      <c r="EL47" t="s">
        <v>24</v>
      </c>
      <c r="EM47" t="s">
        <v>25</v>
      </c>
      <c r="EO47" t="s">
        <v>3</v>
      </c>
      <c r="EQ47">
        <v>0</v>
      </c>
      <c r="ER47">
        <v>1400.2</v>
      </c>
      <c r="ES47">
        <v>0</v>
      </c>
      <c r="ET47">
        <v>0</v>
      </c>
      <c r="EU47">
        <v>0</v>
      </c>
      <c r="EV47">
        <v>1400.2</v>
      </c>
      <c r="EW47">
        <v>3.09</v>
      </c>
      <c r="EX47">
        <v>0</v>
      </c>
      <c r="EY47">
        <v>0</v>
      </c>
      <c r="FQ47">
        <v>0</v>
      </c>
      <c r="FR47"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1003354648</v>
      </c>
      <c r="GG47">
        <v>2</v>
      </c>
      <c r="GH47">
        <v>1</v>
      </c>
      <c r="GI47">
        <v>-2</v>
      </c>
      <c r="GJ47">
        <v>0</v>
      </c>
      <c r="GK47">
        <f>ROUND(R47*(R12)/100,2)</f>
        <v>0</v>
      </c>
      <c r="GL47">
        <f t="shared" si="52"/>
        <v>0</v>
      </c>
      <c r="GM47">
        <f t="shared" si="53"/>
        <v>125513.93</v>
      </c>
      <c r="GN47">
        <f t="shared" si="54"/>
        <v>0</v>
      </c>
      <c r="GO47">
        <f t="shared" si="55"/>
        <v>0</v>
      </c>
      <c r="GP47">
        <f t="shared" si="56"/>
        <v>125513.93</v>
      </c>
      <c r="GR47">
        <v>0</v>
      </c>
      <c r="GS47">
        <v>3</v>
      </c>
      <c r="GT47">
        <v>0</v>
      </c>
      <c r="GU47" t="s">
        <v>3</v>
      </c>
      <c r="GV47">
        <f t="shared" si="57"/>
        <v>0</v>
      </c>
      <c r="GW47">
        <v>1</v>
      </c>
      <c r="GX47">
        <f t="shared" si="58"/>
        <v>0</v>
      </c>
      <c r="HA47">
        <v>0</v>
      </c>
      <c r="HB47">
        <v>0</v>
      </c>
      <c r="HC47">
        <f t="shared" si="59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HS47">
        <v>0</v>
      </c>
      <c r="IK47">
        <v>0</v>
      </c>
    </row>
    <row r="49" spans="1:206" ht="13" x14ac:dyDescent="0.3">
      <c r="A49" s="2">
        <v>51</v>
      </c>
      <c r="B49" s="2">
        <f>B28</f>
        <v>1</v>
      </c>
      <c r="C49" s="2">
        <f>A28</f>
        <v>5</v>
      </c>
      <c r="D49" s="2">
        <f>ROW(A28)</f>
        <v>28</v>
      </c>
      <c r="E49" s="2"/>
      <c r="F49" s="2" t="str">
        <f>IF(F28&lt;&gt;"",F28,"")</f>
        <v>Новый подраздел</v>
      </c>
      <c r="G49" s="2" t="str">
        <f>IF(G28&lt;&gt;"",G28,"")</f>
        <v xml:space="preserve">Подраздел: ЗИМНЯЯ УБОРКА </v>
      </c>
      <c r="H49" s="2">
        <v>0</v>
      </c>
      <c r="I49" s="2"/>
      <c r="J49" s="2"/>
      <c r="K49" s="2"/>
      <c r="L49" s="2"/>
      <c r="M49" s="2"/>
      <c r="N49" s="2"/>
      <c r="O49" s="2">
        <f t="shared" ref="O49:T49" si="60">ROUND(AB49,2)</f>
        <v>69678099.349999994</v>
      </c>
      <c r="P49" s="2">
        <f t="shared" si="60"/>
        <v>10856221.68</v>
      </c>
      <c r="Q49" s="2">
        <f t="shared" si="60"/>
        <v>42095479.530000001</v>
      </c>
      <c r="R49" s="2">
        <f t="shared" si="60"/>
        <v>19202016.23</v>
      </c>
      <c r="S49" s="2">
        <f t="shared" si="60"/>
        <v>16726398.140000001</v>
      </c>
      <c r="T49" s="2">
        <f t="shared" si="60"/>
        <v>0</v>
      </c>
      <c r="U49" s="2">
        <f>AH49</f>
        <v>36912.478070000005</v>
      </c>
      <c r="V49" s="2">
        <f>AI49</f>
        <v>0</v>
      </c>
      <c r="W49" s="2">
        <f>ROUND(AJ49,2)</f>
        <v>0</v>
      </c>
      <c r="X49" s="2">
        <f>ROUND(AK49,2)</f>
        <v>11708478.710000001</v>
      </c>
      <c r="Y49" s="2">
        <f>ROUND(AL49,2)</f>
        <v>1672639.83</v>
      </c>
      <c r="Z49" s="2"/>
      <c r="AA49" s="2"/>
      <c r="AB49" s="2">
        <f>ROUND(SUMIF(AA32:AA47,"=80891185",O32:O47),2)</f>
        <v>69678099.349999994</v>
      </c>
      <c r="AC49" s="2">
        <f>ROUND(SUMIF(AA32:AA47,"=80891185",P32:P47),2)</f>
        <v>10856221.68</v>
      </c>
      <c r="AD49" s="2">
        <f>ROUND(SUMIF(AA32:AA47,"=80891185",Q32:Q47),2)</f>
        <v>42095479.530000001</v>
      </c>
      <c r="AE49" s="2">
        <f>ROUND(SUMIF(AA32:AA47,"=80891185",R32:R47),2)</f>
        <v>19202016.23</v>
      </c>
      <c r="AF49" s="2">
        <f>ROUND(SUMIF(AA32:AA47,"=80891185",S32:S47),2)</f>
        <v>16726398.140000001</v>
      </c>
      <c r="AG49" s="2">
        <f>ROUND(SUMIF(AA32:AA47,"=80891185",T32:T47),2)</f>
        <v>0</v>
      </c>
      <c r="AH49" s="2">
        <f>SUMIF(AA32:AA47,"=80891185",U32:U47)</f>
        <v>36912.478070000005</v>
      </c>
      <c r="AI49" s="2">
        <f>SUMIF(AA32:AA47,"=80891185",V32:V47)</f>
        <v>0</v>
      </c>
      <c r="AJ49" s="2">
        <f>ROUND(SUMIF(AA32:AA47,"=80891185",W32:W47),2)</f>
        <v>0</v>
      </c>
      <c r="AK49" s="2">
        <f>ROUND(SUMIF(AA32:AA47,"=80891185",X32:X47),2)</f>
        <v>11708478.710000001</v>
      </c>
      <c r="AL49" s="2">
        <f>ROUND(SUMIF(AA32:AA47,"=80891185",Y32:Y47),2)</f>
        <v>1672639.83</v>
      </c>
      <c r="AM49" s="2"/>
      <c r="AN49" s="2"/>
      <c r="AO49" s="2">
        <f t="shared" ref="AO49:BD49" si="61">ROUND(BX49,2)</f>
        <v>0</v>
      </c>
      <c r="AP49" s="2">
        <f t="shared" si="61"/>
        <v>0</v>
      </c>
      <c r="AQ49" s="2">
        <f t="shared" si="61"/>
        <v>0</v>
      </c>
      <c r="AR49" s="2">
        <f t="shared" si="61"/>
        <v>103797395.42</v>
      </c>
      <c r="AS49" s="2">
        <f t="shared" si="61"/>
        <v>0</v>
      </c>
      <c r="AT49" s="2">
        <f t="shared" si="61"/>
        <v>0</v>
      </c>
      <c r="AU49" s="2">
        <f t="shared" si="61"/>
        <v>103797395.42</v>
      </c>
      <c r="AV49" s="2">
        <f t="shared" si="61"/>
        <v>10856221.68</v>
      </c>
      <c r="AW49" s="2">
        <f t="shared" si="61"/>
        <v>10856221.68</v>
      </c>
      <c r="AX49" s="2">
        <f t="shared" si="61"/>
        <v>0</v>
      </c>
      <c r="AY49" s="2">
        <f t="shared" si="61"/>
        <v>10856221.68</v>
      </c>
      <c r="AZ49" s="2">
        <f t="shared" si="61"/>
        <v>0</v>
      </c>
      <c r="BA49" s="2">
        <f t="shared" si="61"/>
        <v>0</v>
      </c>
      <c r="BB49" s="2">
        <f t="shared" si="61"/>
        <v>0</v>
      </c>
      <c r="BC49" s="2">
        <f t="shared" si="61"/>
        <v>0</v>
      </c>
      <c r="BD49" s="2">
        <f t="shared" si="61"/>
        <v>0</v>
      </c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>
        <f>ROUND(SUMIF(AA32:AA47,"=80891185",FQ32:FQ47),2)</f>
        <v>0</v>
      </c>
      <c r="BY49" s="2">
        <f>ROUND(SUMIF(AA32:AA47,"=80891185",FR32:FR47),2)</f>
        <v>0</v>
      </c>
      <c r="BZ49" s="2">
        <f>ROUND(SUMIF(AA32:AA47,"=80891185",GL32:GL47),2)</f>
        <v>0</v>
      </c>
      <c r="CA49" s="2">
        <f>ROUND(SUMIF(AA32:AA47,"=80891185",GM32:GM47),2)</f>
        <v>103797395.42</v>
      </c>
      <c r="CB49" s="2">
        <f>ROUND(SUMIF(AA32:AA47,"=80891185",GN32:GN47),2)</f>
        <v>0</v>
      </c>
      <c r="CC49" s="2">
        <f>ROUND(SUMIF(AA32:AA47,"=80891185",GO32:GO47),2)</f>
        <v>0</v>
      </c>
      <c r="CD49" s="2">
        <f>ROUND(SUMIF(AA32:AA47,"=80891185",GP32:GP47),2)</f>
        <v>103797395.42</v>
      </c>
      <c r="CE49" s="2">
        <f>AC49-BX49</f>
        <v>10856221.68</v>
      </c>
      <c r="CF49" s="2">
        <f>AC49-BY49</f>
        <v>10856221.68</v>
      </c>
      <c r="CG49" s="2">
        <f>BX49-BZ49</f>
        <v>0</v>
      </c>
      <c r="CH49" s="2">
        <f>AC49-BX49-BY49+BZ49</f>
        <v>10856221.68</v>
      </c>
      <c r="CI49" s="2">
        <f>BY49-BZ49</f>
        <v>0</v>
      </c>
      <c r="CJ49" s="2">
        <f>ROUND(SUMIF(AA32:AA47,"=80891185",GX32:GX47),2)</f>
        <v>0</v>
      </c>
      <c r="CK49" s="2">
        <f>ROUND(SUMIF(AA32:AA47,"=80891185",GY32:GY47),2)</f>
        <v>0</v>
      </c>
      <c r="CL49" s="2">
        <f>ROUND(SUMIF(AA32:AA47,"=80891185",GZ32:GZ47),2)</f>
        <v>0</v>
      </c>
      <c r="CM49" s="2">
        <f>ROUND(SUMIF(AA32:AA47,"=80891185",HD32:HD47),2)</f>
        <v>0</v>
      </c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>
        <v>0</v>
      </c>
    </row>
    <row r="51" spans="1:206" ht="13" x14ac:dyDescent="0.3">
      <c r="A51" s="4">
        <v>50</v>
      </c>
      <c r="B51" s="4">
        <v>0</v>
      </c>
      <c r="C51" s="4">
        <v>0</v>
      </c>
      <c r="D51" s="4">
        <v>1</v>
      </c>
      <c r="E51" s="4">
        <v>201</v>
      </c>
      <c r="F51" s="4">
        <f>ROUND(Source!O49,O51)</f>
        <v>69678099.349999994</v>
      </c>
      <c r="G51" s="4" t="s">
        <v>94</v>
      </c>
      <c r="H51" s="4" t="s">
        <v>95</v>
      </c>
      <c r="I51" s="4"/>
      <c r="J51" s="4"/>
      <c r="K51" s="4">
        <v>201</v>
      </c>
      <c r="L51" s="4">
        <v>1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69678099.349999994</v>
      </c>
      <c r="X51" s="4">
        <v>1</v>
      </c>
      <c r="Y51" s="4">
        <v>69678099.349999994</v>
      </c>
      <c r="Z51" s="4"/>
      <c r="AA51" s="4"/>
      <c r="AB51" s="4"/>
    </row>
    <row r="52" spans="1:206" ht="13" x14ac:dyDescent="0.3">
      <c r="A52" s="4">
        <v>50</v>
      </c>
      <c r="B52" s="4">
        <v>0</v>
      </c>
      <c r="C52" s="4">
        <v>0</v>
      </c>
      <c r="D52" s="4">
        <v>1</v>
      </c>
      <c r="E52" s="4">
        <v>202</v>
      </c>
      <c r="F52" s="4">
        <f>ROUND(Source!P49,O52)</f>
        <v>10856221.68</v>
      </c>
      <c r="G52" s="4" t="s">
        <v>96</v>
      </c>
      <c r="H52" s="4" t="s">
        <v>97</v>
      </c>
      <c r="I52" s="4"/>
      <c r="J52" s="4"/>
      <c r="K52" s="4">
        <v>202</v>
      </c>
      <c r="L52" s="4">
        <v>2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10856221.68</v>
      </c>
      <c r="X52" s="4">
        <v>1</v>
      </c>
      <c r="Y52" s="4">
        <v>10856221.68</v>
      </c>
      <c r="Z52" s="4"/>
      <c r="AA52" s="4"/>
      <c r="AB52" s="4"/>
    </row>
    <row r="53" spans="1:206" ht="13" x14ac:dyDescent="0.3">
      <c r="A53" s="4">
        <v>50</v>
      </c>
      <c r="B53" s="4">
        <v>0</v>
      </c>
      <c r="C53" s="4">
        <v>0</v>
      </c>
      <c r="D53" s="4">
        <v>1</v>
      </c>
      <c r="E53" s="4">
        <v>222</v>
      </c>
      <c r="F53" s="4">
        <f>ROUND(Source!AO49,O53)</f>
        <v>0</v>
      </c>
      <c r="G53" s="4" t="s">
        <v>98</v>
      </c>
      <c r="H53" s="4" t="s">
        <v>99</v>
      </c>
      <c r="I53" s="4"/>
      <c r="J53" s="4"/>
      <c r="K53" s="4">
        <v>222</v>
      </c>
      <c r="L53" s="4">
        <v>3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06" ht="13" x14ac:dyDescent="0.3">
      <c r="A54" s="4">
        <v>50</v>
      </c>
      <c r="B54" s="4">
        <v>0</v>
      </c>
      <c r="C54" s="4">
        <v>0</v>
      </c>
      <c r="D54" s="4">
        <v>1</v>
      </c>
      <c r="E54" s="4">
        <v>225</v>
      </c>
      <c r="F54" s="4">
        <f>ROUND(Source!AV49,O54)</f>
        <v>10856221.68</v>
      </c>
      <c r="G54" s="4" t="s">
        <v>100</v>
      </c>
      <c r="H54" s="4" t="s">
        <v>101</v>
      </c>
      <c r="I54" s="4"/>
      <c r="J54" s="4"/>
      <c r="K54" s="4">
        <v>225</v>
      </c>
      <c r="L54" s="4">
        <v>4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10856221.68</v>
      </c>
      <c r="X54" s="4">
        <v>1</v>
      </c>
      <c r="Y54" s="4">
        <v>10856221.68</v>
      </c>
      <c r="Z54" s="4"/>
      <c r="AA54" s="4"/>
      <c r="AB54" s="4"/>
    </row>
    <row r="55" spans="1:206" ht="13" x14ac:dyDescent="0.3">
      <c r="A55" s="4">
        <v>50</v>
      </c>
      <c r="B55" s="4">
        <v>0</v>
      </c>
      <c r="C55" s="4">
        <v>0</v>
      </c>
      <c r="D55" s="4">
        <v>1</v>
      </c>
      <c r="E55" s="4">
        <v>226</v>
      </c>
      <c r="F55" s="4">
        <f>ROUND(Source!AW49,O55)</f>
        <v>10856221.68</v>
      </c>
      <c r="G55" s="4" t="s">
        <v>102</v>
      </c>
      <c r="H55" s="4" t="s">
        <v>103</v>
      </c>
      <c r="I55" s="4"/>
      <c r="J55" s="4"/>
      <c r="K55" s="4">
        <v>226</v>
      </c>
      <c r="L55" s="4">
        <v>5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10856221.68</v>
      </c>
      <c r="X55" s="4">
        <v>1</v>
      </c>
      <c r="Y55" s="4">
        <v>10856221.68</v>
      </c>
      <c r="Z55" s="4"/>
      <c r="AA55" s="4"/>
      <c r="AB55" s="4"/>
    </row>
    <row r="56" spans="1:206" ht="13" x14ac:dyDescent="0.3">
      <c r="A56" s="4">
        <v>50</v>
      </c>
      <c r="B56" s="4">
        <v>0</v>
      </c>
      <c r="C56" s="4">
        <v>0</v>
      </c>
      <c r="D56" s="4">
        <v>1</v>
      </c>
      <c r="E56" s="4">
        <v>227</v>
      </c>
      <c r="F56" s="4">
        <f>ROUND(Source!AX49,O56)</f>
        <v>0</v>
      </c>
      <c r="G56" s="4" t="s">
        <v>104</v>
      </c>
      <c r="H56" s="4" t="s">
        <v>105</v>
      </c>
      <c r="I56" s="4"/>
      <c r="J56" s="4"/>
      <c r="K56" s="4">
        <v>227</v>
      </c>
      <c r="L56" s="4">
        <v>6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06" ht="13" x14ac:dyDescent="0.3">
      <c r="A57" s="4">
        <v>50</v>
      </c>
      <c r="B57" s="4">
        <v>0</v>
      </c>
      <c r="C57" s="4">
        <v>0</v>
      </c>
      <c r="D57" s="4">
        <v>1</v>
      </c>
      <c r="E57" s="4">
        <v>228</v>
      </c>
      <c r="F57" s="4">
        <f>ROUND(Source!AY49,O57)</f>
        <v>10856221.68</v>
      </c>
      <c r="G57" s="4" t="s">
        <v>106</v>
      </c>
      <c r="H57" s="4" t="s">
        <v>107</v>
      </c>
      <c r="I57" s="4"/>
      <c r="J57" s="4"/>
      <c r="K57" s="4">
        <v>228</v>
      </c>
      <c r="L57" s="4">
        <v>7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10856221.68</v>
      </c>
      <c r="X57" s="4">
        <v>1</v>
      </c>
      <c r="Y57" s="4">
        <v>10856221.68</v>
      </c>
      <c r="Z57" s="4"/>
      <c r="AA57" s="4"/>
      <c r="AB57" s="4"/>
    </row>
    <row r="58" spans="1:206" ht="13" x14ac:dyDescent="0.3">
      <c r="A58" s="4">
        <v>50</v>
      </c>
      <c r="B58" s="4">
        <v>0</v>
      </c>
      <c r="C58" s="4">
        <v>0</v>
      </c>
      <c r="D58" s="4">
        <v>1</v>
      </c>
      <c r="E58" s="4">
        <v>216</v>
      </c>
      <c r="F58" s="4">
        <f>ROUND(Source!AP49,O58)</f>
        <v>0</v>
      </c>
      <c r="G58" s="4" t="s">
        <v>108</v>
      </c>
      <c r="H58" s="4" t="s">
        <v>109</v>
      </c>
      <c r="I58" s="4"/>
      <c r="J58" s="4"/>
      <c r="K58" s="4">
        <v>216</v>
      </c>
      <c r="L58" s="4">
        <v>8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06" ht="13" x14ac:dyDescent="0.3">
      <c r="A59" s="4">
        <v>50</v>
      </c>
      <c r="B59" s="4">
        <v>0</v>
      </c>
      <c r="C59" s="4">
        <v>0</v>
      </c>
      <c r="D59" s="4">
        <v>1</v>
      </c>
      <c r="E59" s="4">
        <v>223</v>
      </c>
      <c r="F59" s="4">
        <f>ROUND(Source!AQ49,O59)</f>
        <v>0</v>
      </c>
      <c r="G59" s="4" t="s">
        <v>110</v>
      </c>
      <c r="H59" s="4" t="s">
        <v>111</v>
      </c>
      <c r="I59" s="4"/>
      <c r="J59" s="4"/>
      <c r="K59" s="4">
        <v>223</v>
      </c>
      <c r="L59" s="4">
        <v>9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06" ht="13" x14ac:dyDescent="0.3">
      <c r="A60" s="4">
        <v>50</v>
      </c>
      <c r="B60" s="4">
        <v>0</v>
      </c>
      <c r="C60" s="4">
        <v>0</v>
      </c>
      <c r="D60" s="4">
        <v>1</v>
      </c>
      <c r="E60" s="4">
        <v>229</v>
      </c>
      <c r="F60" s="4">
        <f>ROUND(Source!AZ49,O60)</f>
        <v>0</v>
      </c>
      <c r="G60" s="4" t="s">
        <v>112</v>
      </c>
      <c r="H60" s="4" t="s">
        <v>113</v>
      </c>
      <c r="I60" s="4"/>
      <c r="J60" s="4"/>
      <c r="K60" s="4">
        <v>229</v>
      </c>
      <c r="L60" s="4">
        <v>10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06" ht="13" x14ac:dyDescent="0.3">
      <c r="A61" s="4">
        <v>50</v>
      </c>
      <c r="B61" s="4">
        <v>0</v>
      </c>
      <c r="C61" s="4">
        <v>0</v>
      </c>
      <c r="D61" s="4">
        <v>1</v>
      </c>
      <c r="E61" s="4">
        <v>203</v>
      </c>
      <c r="F61" s="4">
        <f>ROUND(Source!Q49,O61)</f>
        <v>42095479.530000001</v>
      </c>
      <c r="G61" s="4" t="s">
        <v>114</v>
      </c>
      <c r="H61" s="4" t="s">
        <v>115</v>
      </c>
      <c r="I61" s="4"/>
      <c r="J61" s="4"/>
      <c r="K61" s="4">
        <v>203</v>
      </c>
      <c r="L61" s="4">
        <v>11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42095479.530000001</v>
      </c>
      <c r="X61" s="4">
        <v>1</v>
      </c>
      <c r="Y61" s="4">
        <v>42095479.530000001</v>
      </c>
      <c r="Z61" s="4"/>
      <c r="AA61" s="4"/>
      <c r="AB61" s="4"/>
    </row>
    <row r="62" spans="1:206" ht="13" x14ac:dyDescent="0.3">
      <c r="A62" s="4">
        <v>50</v>
      </c>
      <c r="B62" s="4">
        <v>0</v>
      </c>
      <c r="C62" s="4">
        <v>0</v>
      </c>
      <c r="D62" s="4">
        <v>1</v>
      </c>
      <c r="E62" s="4">
        <v>231</v>
      </c>
      <c r="F62" s="4">
        <f>ROUND(Source!BB49,O62)</f>
        <v>0</v>
      </c>
      <c r="G62" s="4" t="s">
        <v>116</v>
      </c>
      <c r="H62" s="4" t="s">
        <v>117</v>
      </c>
      <c r="I62" s="4"/>
      <c r="J62" s="4"/>
      <c r="K62" s="4">
        <v>231</v>
      </c>
      <c r="L62" s="4">
        <v>12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06" ht="13" x14ac:dyDescent="0.3">
      <c r="A63" s="4">
        <v>50</v>
      </c>
      <c r="B63" s="4">
        <v>0</v>
      </c>
      <c r="C63" s="4">
        <v>0</v>
      </c>
      <c r="D63" s="4">
        <v>1</v>
      </c>
      <c r="E63" s="4">
        <v>204</v>
      </c>
      <c r="F63" s="4">
        <f>ROUND(Source!R49,O63)</f>
        <v>19202016.23</v>
      </c>
      <c r="G63" s="4" t="s">
        <v>118</v>
      </c>
      <c r="H63" s="4" t="s">
        <v>119</v>
      </c>
      <c r="I63" s="4"/>
      <c r="J63" s="4"/>
      <c r="K63" s="4">
        <v>204</v>
      </c>
      <c r="L63" s="4">
        <v>13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19202016.23</v>
      </c>
      <c r="X63" s="4">
        <v>1</v>
      </c>
      <c r="Y63" s="4">
        <v>19202016.23</v>
      </c>
      <c r="Z63" s="4"/>
      <c r="AA63" s="4"/>
      <c r="AB63" s="4"/>
    </row>
    <row r="64" spans="1:206" ht="13" x14ac:dyDescent="0.3">
      <c r="A64" s="4">
        <v>50</v>
      </c>
      <c r="B64" s="4">
        <v>0</v>
      </c>
      <c r="C64" s="4">
        <v>0</v>
      </c>
      <c r="D64" s="4">
        <v>1</v>
      </c>
      <c r="E64" s="4">
        <v>205</v>
      </c>
      <c r="F64" s="4">
        <f>ROUND(Source!S49,O64)</f>
        <v>16726398.140000001</v>
      </c>
      <c r="G64" s="4" t="s">
        <v>120</v>
      </c>
      <c r="H64" s="4" t="s">
        <v>121</v>
      </c>
      <c r="I64" s="4"/>
      <c r="J64" s="4"/>
      <c r="K64" s="4">
        <v>205</v>
      </c>
      <c r="L64" s="4">
        <v>14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16726398.140000001</v>
      </c>
      <c r="X64" s="4">
        <v>1</v>
      </c>
      <c r="Y64" s="4">
        <v>16726398.140000001</v>
      </c>
      <c r="Z64" s="4"/>
      <c r="AA64" s="4"/>
      <c r="AB64" s="4"/>
    </row>
    <row r="65" spans="1:88" ht="13" x14ac:dyDescent="0.3">
      <c r="A65" s="4">
        <v>50</v>
      </c>
      <c r="B65" s="4">
        <v>0</v>
      </c>
      <c r="C65" s="4">
        <v>0</v>
      </c>
      <c r="D65" s="4">
        <v>1</v>
      </c>
      <c r="E65" s="4">
        <v>232</v>
      </c>
      <c r="F65" s="4">
        <f>ROUND(Source!BC49,O65)</f>
        <v>0</v>
      </c>
      <c r="G65" s="4" t="s">
        <v>122</v>
      </c>
      <c r="H65" s="4" t="s">
        <v>123</v>
      </c>
      <c r="I65" s="4"/>
      <c r="J65" s="4"/>
      <c r="K65" s="4">
        <v>232</v>
      </c>
      <c r="L65" s="4">
        <v>15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88" ht="13" x14ac:dyDescent="0.3">
      <c r="A66" s="4">
        <v>50</v>
      </c>
      <c r="B66" s="4">
        <v>0</v>
      </c>
      <c r="C66" s="4">
        <v>0</v>
      </c>
      <c r="D66" s="4">
        <v>1</v>
      </c>
      <c r="E66" s="4">
        <v>214</v>
      </c>
      <c r="F66" s="4">
        <f>ROUND(Source!AS49,O66)</f>
        <v>0</v>
      </c>
      <c r="G66" s="4" t="s">
        <v>124</v>
      </c>
      <c r="H66" s="4" t="s">
        <v>125</v>
      </c>
      <c r="I66" s="4"/>
      <c r="J66" s="4"/>
      <c r="K66" s="4">
        <v>214</v>
      </c>
      <c r="L66" s="4">
        <v>16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88" ht="13" x14ac:dyDescent="0.3">
      <c r="A67" s="4">
        <v>50</v>
      </c>
      <c r="B67" s="4">
        <v>0</v>
      </c>
      <c r="C67" s="4">
        <v>0</v>
      </c>
      <c r="D67" s="4">
        <v>1</v>
      </c>
      <c r="E67" s="4">
        <v>215</v>
      </c>
      <c r="F67" s="4">
        <f>ROUND(Source!AT49,O67)</f>
        <v>0</v>
      </c>
      <c r="G67" s="4" t="s">
        <v>126</v>
      </c>
      <c r="H67" s="4" t="s">
        <v>127</v>
      </c>
      <c r="I67" s="4"/>
      <c r="J67" s="4"/>
      <c r="K67" s="4">
        <v>215</v>
      </c>
      <c r="L67" s="4">
        <v>17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88" ht="13" x14ac:dyDescent="0.3">
      <c r="A68" s="4">
        <v>50</v>
      </c>
      <c r="B68" s="4">
        <v>0</v>
      </c>
      <c r="C68" s="4">
        <v>0</v>
      </c>
      <c r="D68" s="4">
        <v>1</v>
      </c>
      <c r="E68" s="4">
        <v>217</v>
      </c>
      <c r="F68" s="4">
        <f>ROUND(Source!AU49,O68)</f>
        <v>103797395.42</v>
      </c>
      <c r="G68" s="4" t="s">
        <v>128</v>
      </c>
      <c r="H68" s="4" t="s">
        <v>129</v>
      </c>
      <c r="I68" s="4"/>
      <c r="J68" s="4"/>
      <c r="K68" s="4">
        <v>217</v>
      </c>
      <c r="L68" s="4">
        <v>18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103797395.42</v>
      </c>
      <c r="X68" s="4">
        <v>1</v>
      </c>
      <c r="Y68" s="4">
        <v>103797395.42</v>
      </c>
      <c r="Z68" s="4"/>
      <c r="AA68" s="4"/>
      <c r="AB68" s="4"/>
    </row>
    <row r="69" spans="1:88" ht="13" x14ac:dyDescent="0.3">
      <c r="A69" s="4">
        <v>50</v>
      </c>
      <c r="B69" s="4">
        <v>0</v>
      </c>
      <c r="C69" s="4">
        <v>0</v>
      </c>
      <c r="D69" s="4">
        <v>1</v>
      </c>
      <c r="E69" s="4">
        <v>230</v>
      </c>
      <c r="F69" s="4">
        <f>ROUND(Source!BA49,O69)</f>
        <v>0</v>
      </c>
      <c r="G69" s="4" t="s">
        <v>130</v>
      </c>
      <c r="H69" s="4" t="s">
        <v>131</v>
      </c>
      <c r="I69" s="4"/>
      <c r="J69" s="4"/>
      <c r="K69" s="4">
        <v>230</v>
      </c>
      <c r="L69" s="4">
        <v>19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88" ht="13" x14ac:dyDescent="0.3">
      <c r="A70" s="4">
        <v>50</v>
      </c>
      <c r="B70" s="4">
        <v>0</v>
      </c>
      <c r="C70" s="4">
        <v>0</v>
      </c>
      <c r="D70" s="4">
        <v>1</v>
      </c>
      <c r="E70" s="4">
        <v>206</v>
      </c>
      <c r="F70" s="4">
        <f>ROUND(Source!T49,O70)</f>
        <v>0</v>
      </c>
      <c r="G70" s="4" t="s">
        <v>132</v>
      </c>
      <c r="H70" s="4" t="s">
        <v>133</v>
      </c>
      <c r="I70" s="4"/>
      <c r="J70" s="4"/>
      <c r="K70" s="4">
        <v>206</v>
      </c>
      <c r="L70" s="4">
        <v>20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88" ht="13" x14ac:dyDescent="0.3">
      <c r="A71" s="4">
        <v>50</v>
      </c>
      <c r="B71" s="4">
        <v>0</v>
      </c>
      <c r="C71" s="4">
        <v>0</v>
      </c>
      <c r="D71" s="4">
        <v>1</v>
      </c>
      <c r="E71" s="4">
        <v>207</v>
      </c>
      <c r="F71" s="4">
        <f>Source!U49</f>
        <v>36912.478070000005</v>
      </c>
      <c r="G71" s="4" t="s">
        <v>134</v>
      </c>
      <c r="H71" s="4" t="s">
        <v>135</v>
      </c>
      <c r="I71" s="4"/>
      <c r="J71" s="4"/>
      <c r="K71" s="4">
        <v>207</v>
      </c>
      <c r="L71" s="4">
        <v>21</v>
      </c>
      <c r="M71" s="4">
        <v>3</v>
      </c>
      <c r="N71" s="4" t="s">
        <v>3</v>
      </c>
      <c r="O71" s="4">
        <v>-1</v>
      </c>
      <c r="P71" s="4"/>
      <c r="Q71" s="4"/>
      <c r="R71" s="4"/>
      <c r="S71" s="4"/>
      <c r="T71" s="4"/>
      <c r="U71" s="4"/>
      <c r="V71" s="4"/>
      <c r="W71" s="4">
        <v>36912.478070000005</v>
      </c>
      <c r="X71" s="4">
        <v>1</v>
      </c>
      <c r="Y71" s="4">
        <v>36912.478070000005</v>
      </c>
      <c r="Z71" s="4"/>
      <c r="AA71" s="4"/>
      <c r="AB71" s="4"/>
    </row>
    <row r="72" spans="1:88" ht="13" x14ac:dyDescent="0.3">
      <c r="A72" s="4">
        <v>50</v>
      </c>
      <c r="B72" s="4">
        <v>0</v>
      </c>
      <c r="C72" s="4">
        <v>0</v>
      </c>
      <c r="D72" s="4">
        <v>1</v>
      </c>
      <c r="E72" s="4">
        <v>208</v>
      </c>
      <c r="F72" s="4">
        <f>Source!V49</f>
        <v>0</v>
      </c>
      <c r="G72" s="4" t="s">
        <v>136</v>
      </c>
      <c r="H72" s="4" t="s">
        <v>137</v>
      </c>
      <c r="I72" s="4"/>
      <c r="J72" s="4"/>
      <c r="K72" s="4">
        <v>208</v>
      </c>
      <c r="L72" s="4">
        <v>22</v>
      </c>
      <c r="M72" s="4">
        <v>3</v>
      </c>
      <c r="N72" s="4" t="s">
        <v>3</v>
      </c>
      <c r="O72" s="4">
        <v>-1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88" ht="13" x14ac:dyDescent="0.3">
      <c r="A73" s="4">
        <v>50</v>
      </c>
      <c r="B73" s="4">
        <v>0</v>
      </c>
      <c r="C73" s="4">
        <v>0</v>
      </c>
      <c r="D73" s="4">
        <v>1</v>
      </c>
      <c r="E73" s="4">
        <v>209</v>
      </c>
      <c r="F73" s="4">
        <f>ROUND(Source!W49,O73)</f>
        <v>0</v>
      </c>
      <c r="G73" s="4" t="s">
        <v>138</v>
      </c>
      <c r="H73" s="4" t="s">
        <v>139</v>
      </c>
      <c r="I73" s="4"/>
      <c r="J73" s="4"/>
      <c r="K73" s="4">
        <v>209</v>
      </c>
      <c r="L73" s="4">
        <v>23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88" ht="13" x14ac:dyDescent="0.3">
      <c r="A74" s="4">
        <v>50</v>
      </c>
      <c r="B74" s="4">
        <v>0</v>
      </c>
      <c r="C74" s="4">
        <v>0</v>
      </c>
      <c r="D74" s="4">
        <v>1</v>
      </c>
      <c r="E74" s="4">
        <v>233</v>
      </c>
      <c r="F74" s="4">
        <f>ROUND(Source!BD49,O74)</f>
        <v>0</v>
      </c>
      <c r="G74" s="4" t="s">
        <v>140</v>
      </c>
      <c r="H74" s="4" t="s">
        <v>141</v>
      </c>
      <c r="I74" s="4"/>
      <c r="J74" s="4"/>
      <c r="K74" s="4">
        <v>233</v>
      </c>
      <c r="L74" s="4">
        <v>24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88" ht="13" x14ac:dyDescent="0.3">
      <c r="A75" s="4">
        <v>50</v>
      </c>
      <c r="B75" s="4">
        <v>0</v>
      </c>
      <c r="C75" s="4">
        <v>0</v>
      </c>
      <c r="D75" s="4">
        <v>1</v>
      </c>
      <c r="E75" s="4">
        <v>210</v>
      </c>
      <c r="F75" s="4">
        <f>ROUND(Source!X49,O75)</f>
        <v>11708478.710000001</v>
      </c>
      <c r="G75" s="4" t="s">
        <v>142</v>
      </c>
      <c r="H75" s="4" t="s">
        <v>143</v>
      </c>
      <c r="I75" s="4"/>
      <c r="J75" s="4"/>
      <c r="K75" s="4">
        <v>210</v>
      </c>
      <c r="L75" s="4">
        <v>25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11708478.710000001</v>
      </c>
      <c r="X75" s="4">
        <v>1</v>
      </c>
      <c r="Y75" s="4">
        <v>11708478.710000001</v>
      </c>
      <c r="Z75" s="4"/>
      <c r="AA75" s="4"/>
      <c r="AB75" s="4"/>
    </row>
    <row r="76" spans="1:88" ht="13" x14ac:dyDescent="0.3">
      <c r="A76" s="4">
        <v>50</v>
      </c>
      <c r="B76" s="4">
        <v>0</v>
      </c>
      <c r="C76" s="4">
        <v>0</v>
      </c>
      <c r="D76" s="4">
        <v>1</v>
      </c>
      <c r="E76" s="4">
        <v>211</v>
      </c>
      <c r="F76" s="4">
        <f>ROUND(Source!Y49,O76)</f>
        <v>1672639.83</v>
      </c>
      <c r="G76" s="4" t="s">
        <v>144</v>
      </c>
      <c r="H76" s="4" t="s">
        <v>145</v>
      </c>
      <c r="I76" s="4"/>
      <c r="J76" s="4"/>
      <c r="K76" s="4">
        <v>211</v>
      </c>
      <c r="L76" s="4">
        <v>26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1672639.83</v>
      </c>
      <c r="X76" s="4">
        <v>1</v>
      </c>
      <c r="Y76" s="4">
        <v>1672639.83</v>
      </c>
      <c r="Z76" s="4"/>
      <c r="AA76" s="4"/>
      <c r="AB76" s="4"/>
    </row>
    <row r="77" spans="1:88" ht="13" x14ac:dyDescent="0.3">
      <c r="A77" s="4">
        <v>50</v>
      </c>
      <c r="B77" s="4">
        <v>0</v>
      </c>
      <c r="C77" s="4">
        <v>0</v>
      </c>
      <c r="D77" s="4">
        <v>1</v>
      </c>
      <c r="E77" s="4">
        <v>224</v>
      </c>
      <c r="F77" s="4">
        <f>ROUND(Source!AR49,O77)</f>
        <v>103797395.42</v>
      </c>
      <c r="G77" s="4" t="s">
        <v>146</v>
      </c>
      <c r="H77" s="4" t="s">
        <v>147</v>
      </c>
      <c r="I77" s="4"/>
      <c r="J77" s="4"/>
      <c r="K77" s="4">
        <v>224</v>
      </c>
      <c r="L77" s="4">
        <v>27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103797395.42</v>
      </c>
      <c r="X77" s="4">
        <v>1</v>
      </c>
      <c r="Y77" s="4">
        <v>103797395.42</v>
      </c>
      <c r="Z77" s="4"/>
      <c r="AA77" s="4"/>
      <c r="AB77" s="4"/>
    </row>
    <row r="79" spans="1:88" ht="13" x14ac:dyDescent="0.3">
      <c r="A79" s="1">
        <v>5</v>
      </c>
      <c r="B79" s="1">
        <v>1</v>
      </c>
      <c r="C79" s="1"/>
      <c r="D79" s="1">
        <f>ROW(A96)</f>
        <v>96</v>
      </c>
      <c r="E79" s="1"/>
      <c r="F79" s="1" t="s">
        <v>16</v>
      </c>
      <c r="G79" s="1" t="s">
        <v>368</v>
      </c>
      <c r="H79" s="1" t="s">
        <v>3</v>
      </c>
      <c r="I79" s="1">
        <v>0</v>
      </c>
      <c r="J79" s="1"/>
      <c r="K79" s="1">
        <v>0</v>
      </c>
      <c r="L79" s="1"/>
      <c r="M79" s="1" t="s">
        <v>3</v>
      </c>
      <c r="N79" s="1"/>
      <c r="O79" s="1"/>
      <c r="P79" s="1"/>
      <c r="Q79" s="1"/>
      <c r="R79" s="1"/>
      <c r="S79" s="1">
        <v>0</v>
      </c>
      <c r="T79" s="1"/>
      <c r="U79" s="1" t="s">
        <v>3</v>
      </c>
      <c r="V79" s="1">
        <v>0</v>
      </c>
      <c r="W79" s="1"/>
      <c r="X79" s="1"/>
      <c r="Y79" s="1"/>
      <c r="Z79" s="1"/>
      <c r="AA79" s="1"/>
      <c r="AB79" s="1" t="s">
        <v>3</v>
      </c>
      <c r="AC79" s="1" t="s">
        <v>3</v>
      </c>
      <c r="AD79" s="1" t="s">
        <v>3</v>
      </c>
      <c r="AE79" s="1" t="s">
        <v>3</v>
      </c>
      <c r="AF79" s="1" t="s">
        <v>3</v>
      </c>
      <c r="AG79" s="1" t="s">
        <v>3</v>
      </c>
      <c r="AH79" s="1"/>
      <c r="AI79" s="1"/>
      <c r="AJ79" s="1"/>
      <c r="AK79" s="1"/>
      <c r="AL79" s="1"/>
      <c r="AM79" s="1"/>
      <c r="AN79" s="1"/>
      <c r="AO79" s="1"/>
      <c r="AP79" s="1" t="s">
        <v>3</v>
      </c>
      <c r="AQ79" s="1" t="s">
        <v>3</v>
      </c>
      <c r="AR79" s="1" t="s">
        <v>3</v>
      </c>
      <c r="AS79" s="1"/>
      <c r="AT79" s="1"/>
      <c r="AU79" s="1"/>
      <c r="AV79" s="1"/>
      <c r="AW79" s="1"/>
      <c r="AX79" s="1"/>
      <c r="AY79" s="1"/>
      <c r="AZ79" s="1" t="s">
        <v>3</v>
      </c>
      <c r="BA79" s="1"/>
      <c r="BB79" s="1" t="s">
        <v>3</v>
      </c>
      <c r="BC79" s="1" t="s">
        <v>3</v>
      </c>
      <c r="BD79" s="1" t="s">
        <v>3</v>
      </c>
      <c r="BE79" s="1" t="s">
        <v>3</v>
      </c>
      <c r="BF79" s="1" t="s">
        <v>3</v>
      </c>
      <c r="BG79" s="1" t="s">
        <v>3</v>
      </c>
      <c r="BH79" s="1" t="s">
        <v>3</v>
      </c>
      <c r="BI79" s="1" t="s">
        <v>3</v>
      </c>
      <c r="BJ79" s="1" t="s">
        <v>3</v>
      </c>
      <c r="BK79" s="1" t="s">
        <v>3</v>
      </c>
      <c r="BL79" s="1" t="s">
        <v>3</v>
      </c>
      <c r="BM79" s="1" t="s">
        <v>3</v>
      </c>
      <c r="BN79" s="1" t="s">
        <v>3</v>
      </c>
      <c r="BO79" s="1" t="s">
        <v>3</v>
      </c>
      <c r="BP79" s="1" t="s">
        <v>3</v>
      </c>
      <c r="BQ79" s="1"/>
      <c r="BR79" s="1"/>
      <c r="BS79" s="1"/>
      <c r="BT79" s="1"/>
      <c r="BU79" s="1"/>
      <c r="BV79" s="1"/>
      <c r="BW79" s="1"/>
      <c r="BX79" s="1">
        <v>0</v>
      </c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>
        <v>0</v>
      </c>
    </row>
    <row r="81" spans="1:245" ht="13" x14ac:dyDescent="0.3">
      <c r="A81" s="2">
        <v>52</v>
      </c>
      <c r="B81" s="2">
        <f t="shared" ref="B81:G81" si="62">B96</f>
        <v>1</v>
      </c>
      <c r="C81" s="2">
        <f t="shared" si="62"/>
        <v>5</v>
      </c>
      <c r="D81" s="2">
        <f t="shared" si="62"/>
        <v>79</v>
      </c>
      <c r="E81" s="2">
        <f t="shared" si="62"/>
        <v>0</v>
      </c>
      <c r="F81" s="2" t="str">
        <f t="shared" si="62"/>
        <v>Новый подраздел</v>
      </c>
      <c r="G81" s="2" t="str">
        <f t="shared" si="62"/>
        <v xml:space="preserve">Подраздел: ЛЕТНЯЯ УБОРКА </v>
      </c>
      <c r="H81" s="2"/>
      <c r="I81" s="2"/>
      <c r="J81" s="2"/>
      <c r="K81" s="2"/>
      <c r="L81" s="2"/>
      <c r="M81" s="2"/>
      <c r="N81" s="2"/>
      <c r="O81" s="2">
        <f t="shared" ref="O81:AT81" si="63">O96</f>
        <v>15344938.539999999</v>
      </c>
      <c r="P81" s="2">
        <f t="shared" si="63"/>
        <v>62517.599999999999</v>
      </c>
      <c r="Q81" s="2">
        <f t="shared" si="63"/>
        <v>11551125.220000001</v>
      </c>
      <c r="R81" s="2">
        <f t="shared" si="63"/>
        <v>5454553.0199999996</v>
      </c>
      <c r="S81" s="2">
        <f t="shared" si="63"/>
        <v>3731295.72</v>
      </c>
      <c r="T81" s="2">
        <f t="shared" si="63"/>
        <v>0</v>
      </c>
      <c r="U81" s="2">
        <f t="shared" si="63"/>
        <v>8234.2645800000028</v>
      </c>
      <c r="V81" s="2">
        <f t="shared" si="63"/>
        <v>0</v>
      </c>
      <c r="W81" s="2">
        <f t="shared" si="63"/>
        <v>0</v>
      </c>
      <c r="X81" s="2">
        <f t="shared" si="63"/>
        <v>2611907.0099999998</v>
      </c>
      <c r="Y81" s="2">
        <f t="shared" si="63"/>
        <v>373129.57</v>
      </c>
      <c r="Z81" s="2">
        <f t="shared" si="63"/>
        <v>0</v>
      </c>
      <c r="AA81" s="2">
        <f t="shared" si="63"/>
        <v>0</v>
      </c>
      <c r="AB81" s="2">
        <f t="shared" si="63"/>
        <v>15344938.539999999</v>
      </c>
      <c r="AC81" s="2">
        <f t="shared" si="63"/>
        <v>62517.599999999999</v>
      </c>
      <c r="AD81" s="2">
        <f t="shared" si="63"/>
        <v>11551125.220000001</v>
      </c>
      <c r="AE81" s="2">
        <f t="shared" si="63"/>
        <v>5454553.0199999996</v>
      </c>
      <c r="AF81" s="2">
        <f t="shared" si="63"/>
        <v>3731295.72</v>
      </c>
      <c r="AG81" s="2">
        <f t="shared" si="63"/>
        <v>0</v>
      </c>
      <c r="AH81" s="2">
        <f t="shared" si="63"/>
        <v>8234.2645800000028</v>
      </c>
      <c r="AI81" s="2">
        <f t="shared" si="63"/>
        <v>0</v>
      </c>
      <c r="AJ81" s="2">
        <f t="shared" si="63"/>
        <v>0</v>
      </c>
      <c r="AK81" s="2">
        <f t="shared" si="63"/>
        <v>2611907.0099999998</v>
      </c>
      <c r="AL81" s="2">
        <f t="shared" si="63"/>
        <v>373129.57</v>
      </c>
      <c r="AM81" s="2">
        <f t="shared" si="63"/>
        <v>0</v>
      </c>
      <c r="AN81" s="2">
        <f t="shared" si="63"/>
        <v>0</v>
      </c>
      <c r="AO81" s="2">
        <f t="shared" si="63"/>
        <v>0</v>
      </c>
      <c r="AP81" s="2">
        <f t="shared" si="63"/>
        <v>0</v>
      </c>
      <c r="AQ81" s="2">
        <f t="shared" si="63"/>
        <v>0</v>
      </c>
      <c r="AR81" s="2">
        <f t="shared" si="63"/>
        <v>24220892.370000001</v>
      </c>
      <c r="AS81" s="2">
        <f t="shared" si="63"/>
        <v>0</v>
      </c>
      <c r="AT81" s="2">
        <f t="shared" si="63"/>
        <v>0</v>
      </c>
      <c r="AU81" s="2">
        <f t="shared" ref="AU81:BZ81" si="64">AU96</f>
        <v>24220892.370000001</v>
      </c>
      <c r="AV81" s="2">
        <f t="shared" si="64"/>
        <v>62517.599999999999</v>
      </c>
      <c r="AW81" s="2">
        <f t="shared" si="64"/>
        <v>62517.599999999999</v>
      </c>
      <c r="AX81" s="2">
        <f t="shared" si="64"/>
        <v>0</v>
      </c>
      <c r="AY81" s="2">
        <f t="shared" si="64"/>
        <v>62517.599999999999</v>
      </c>
      <c r="AZ81" s="2">
        <f t="shared" si="64"/>
        <v>0</v>
      </c>
      <c r="BA81" s="2">
        <f t="shared" si="64"/>
        <v>0</v>
      </c>
      <c r="BB81" s="2">
        <f t="shared" si="64"/>
        <v>0</v>
      </c>
      <c r="BC81" s="2">
        <f t="shared" si="64"/>
        <v>0</v>
      </c>
      <c r="BD81" s="2">
        <f t="shared" si="64"/>
        <v>0</v>
      </c>
      <c r="BE81" s="2">
        <f t="shared" si="64"/>
        <v>0</v>
      </c>
      <c r="BF81" s="2">
        <f t="shared" si="64"/>
        <v>0</v>
      </c>
      <c r="BG81" s="2">
        <f t="shared" si="64"/>
        <v>0</v>
      </c>
      <c r="BH81" s="2">
        <f t="shared" si="64"/>
        <v>0</v>
      </c>
      <c r="BI81" s="2">
        <f t="shared" si="64"/>
        <v>0</v>
      </c>
      <c r="BJ81" s="2">
        <f t="shared" si="64"/>
        <v>0</v>
      </c>
      <c r="BK81" s="2">
        <f t="shared" si="64"/>
        <v>0</v>
      </c>
      <c r="BL81" s="2">
        <f t="shared" si="64"/>
        <v>0</v>
      </c>
      <c r="BM81" s="2">
        <f t="shared" si="64"/>
        <v>0</v>
      </c>
      <c r="BN81" s="2">
        <f t="shared" si="64"/>
        <v>0</v>
      </c>
      <c r="BO81" s="2">
        <f t="shared" si="64"/>
        <v>0</v>
      </c>
      <c r="BP81" s="2">
        <f t="shared" si="64"/>
        <v>0</v>
      </c>
      <c r="BQ81" s="2">
        <f t="shared" si="64"/>
        <v>0</v>
      </c>
      <c r="BR81" s="2">
        <f t="shared" si="64"/>
        <v>0</v>
      </c>
      <c r="BS81" s="2">
        <f t="shared" si="64"/>
        <v>0</v>
      </c>
      <c r="BT81" s="2">
        <f t="shared" si="64"/>
        <v>0</v>
      </c>
      <c r="BU81" s="2">
        <f t="shared" si="64"/>
        <v>0</v>
      </c>
      <c r="BV81" s="2">
        <f t="shared" si="64"/>
        <v>0</v>
      </c>
      <c r="BW81" s="2">
        <f t="shared" si="64"/>
        <v>0</v>
      </c>
      <c r="BX81" s="2">
        <f t="shared" si="64"/>
        <v>0</v>
      </c>
      <c r="BY81" s="2">
        <f t="shared" si="64"/>
        <v>0</v>
      </c>
      <c r="BZ81" s="2">
        <f t="shared" si="64"/>
        <v>0</v>
      </c>
      <c r="CA81" s="2">
        <f t="shared" ref="CA81:DF81" si="65">CA96</f>
        <v>24220892.370000001</v>
      </c>
      <c r="CB81" s="2">
        <f t="shared" si="65"/>
        <v>0</v>
      </c>
      <c r="CC81" s="2">
        <f t="shared" si="65"/>
        <v>0</v>
      </c>
      <c r="CD81" s="2">
        <f t="shared" si="65"/>
        <v>24220892.370000001</v>
      </c>
      <c r="CE81" s="2">
        <f t="shared" si="65"/>
        <v>62517.599999999999</v>
      </c>
      <c r="CF81" s="2">
        <f t="shared" si="65"/>
        <v>62517.599999999999</v>
      </c>
      <c r="CG81" s="2">
        <f t="shared" si="65"/>
        <v>0</v>
      </c>
      <c r="CH81" s="2">
        <f t="shared" si="65"/>
        <v>62517.599999999999</v>
      </c>
      <c r="CI81" s="2">
        <f t="shared" si="65"/>
        <v>0</v>
      </c>
      <c r="CJ81" s="2">
        <f t="shared" si="65"/>
        <v>0</v>
      </c>
      <c r="CK81" s="2">
        <f t="shared" si="65"/>
        <v>0</v>
      </c>
      <c r="CL81" s="2">
        <f t="shared" si="65"/>
        <v>0</v>
      </c>
      <c r="CM81" s="2">
        <f t="shared" si="65"/>
        <v>0</v>
      </c>
      <c r="CN81" s="2">
        <f t="shared" si="65"/>
        <v>0</v>
      </c>
      <c r="CO81" s="2">
        <f t="shared" si="65"/>
        <v>0</v>
      </c>
      <c r="CP81" s="2">
        <f t="shared" si="65"/>
        <v>0</v>
      </c>
      <c r="CQ81" s="2">
        <f t="shared" si="65"/>
        <v>0</v>
      </c>
      <c r="CR81" s="2">
        <f t="shared" si="65"/>
        <v>0</v>
      </c>
      <c r="CS81" s="2">
        <f t="shared" si="65"/>
        <v>0</v>
      </c>
      <c r="CT81" s="2">
        <f t="shared" si="65"/>
        <v>0</v>
      </c>
      <c r="CU81" s="2">
        <f t="shared" si="65"/>
        <v>0</v>
      </c>
      <c r="CV81" s="2">
        <f t="shared" si="65"/>
        <v>0</v>
      </c>
      <c r="CW81" s="2">
        <f t="shared" si="65"/>
        <v>0</v>
      </c>
      <c r="CX81" s="2">
        <f t="shared" si="65"/>
        <v>0</v>
      </c>
      <c r="CY81" s="2">
        <f t="shared" si="65"/>
        <v>0</v>
      </c>
      <c r="CZ81" s="2">
        <f t="shared" si="65"/>
        <v>0</v>
      </c>
      <c r="DA81" s="2">
        <f t="shared" si="65"/>
        <v>0</v>
      </c>
      <c r="DB81" s="2">
        <f t="shared" si="65"/>
        <v>0</v>
      </c>
      <c r="DC81" s="2">
        <f t="shared" si="65"/>
        <v>0</v>
      </c>
      <c r="DD81" s="2">
        <f t="shared" si="65"/>
        <v>0</v>
      </c>
      <c r="DE81" s="2">
        <f t="shared" si="65"/>
        <v>0</v>
      </c>
      <c r="DF81" s="2">
        <f t="shared" si="65"/>
        <v>0</v>
      </c>
      <c r="DG81" s="3">
        <f t="shared" ref="DG81:EL81" si="66">DG96</f>
        <v>0</v>
      </c>
      <c r="DH81" s="3">
        <f t="shared" si="66"/>
        <v>0</v>
      </c>
      <c r="DI81" s="3">
        <f t="shared" si="66"/>
        <v>0</v>
      </c>
      <c r="DJ81" s="3">
        <f t="shared" si="66"/>
        <v>0</v>
      </c>
      <c r="DK81" s="3">
        <f t="shared" si="66"/>
        <v>0</v>
      </c>
      <c r="DL81" s="3">
        <f t="shared" si="66"/>
        <v>0</v>
      </c>
      <c r="DM81" s="3">
        <f t="shared" si="66"/>
        <v>0</v>
      </c>
      <c r="DN81" s="3">
        <f t="shared" si="66"/>
        <v>0</v>
      </c>
      <c r="DO81" s="3">
        <f t="shared" si="66"/>
        <v>0</v>
      </c>
      <c r="DP81" s="3">
        <f t="shared" si="66"/>
        <v>0</v>
      </c>
      <c r="DQ81" s="3">
        <f t="shared" si="66"/>
        <v>0</v>
      </c>
      <c r="DR81" s="3">
        <f t="shared" si="66"/>
        <v>0</v>
      </c>
      <c r="DS81" s="3">
        <f t="shared" si="66"/>
        <v>0</v>
      </c>
      <c r="DT81" s="3">
        <f t="shared" si="66"/>
        <v>0</v>
      </c>
      <c r="DU81" s="3">
        <f t="shared" si="66"/>
        <v>0</v>
      </c>
      <c r="DV81" s="3">
        <f t="shared" si="66"/>
        <v>0</v>
      </c>
      <c r="DW81" s="3">
        <f t="shared" si="66"/>
        <v>0</v>
      </c>
      <c r="DX81" s="3">
        <f t="shared" si="66"/>
        <v>0</v>
      </c>
      <c r="DY81" s="3">
        <f t="shared" si="66"/>
        <v>0</v>
      </c>
      <c r="DZ81" s="3">
        <f t="shared" si="66"/>
        <v>0</v>
      </c>
      <c r="EA81" s="3">
        <f t="shared" si="66"/>
        <v>0</v>
      </c>
      <c r="EB81" s="3">
        <f t="shared" si="66"/>
        <v>0</v>
      </c>
      <c r="EC81" s="3">
        <f t="shared" si="66"/>
        <v>0</v>
      </c>
      <c r="ED81" s="3">
        <f t="shared" si="66"/>
        <v>0</v>
      </c>
      <c r="EE81" s="3">
        <f t="shared" si="66"/>
        <v>0</v>
      </c>
      <c r="EF81" s="3">
        <f t="shared" si="66"/>
        <v>0</v>
      </c>
      <c r="EG81" s="3">
        <f t="shared" si="66"/>
        <v>0</v>
      </c>
      <c r="EH81" s="3">
        <f t="shared" si="66"/>
        <v>0</v>
      </c>
      <c r="EI81" s="3">
        <f t="shared" si="66"/>
        <v>0</v>
      </c>
      <c r="EJ81" s="3">
        <f t="shared" si="66"/>
        <v>0</v>
      </c>
      <c r="EK81" s="3">
        <f t="shared" si="66"/>
        <v>0</v>
      </c>
      <c r="EL81" s="3">
        <f t="shared" si="66"/>
        <v>0</v>
      </c>
      <c r="EM81" s="3">
        <f t="shared" ref="EM81:FR81" si="67">EM96</f>
        <v>0</v>
      </c>
      <c r="EN81" s="3">
        <f t="shared" si="67"/>
        <v>0</v>
      </c>
      <c r="EO81" s="3">
        <f t="shared" si="67"/>
        <v>0</v>
      </c>
      <c r="EP81" s="3">
        <f t="shared" si="67"/>
        <v>0</v>
      </c>
      <c r="EQ81" s="3">
        <f t="shared" si="67"/>
        <v>0</v>
      </c>
      <c r="ER81" s="3">
        <f t="shared" si="67"/>
        <v>0</v>
      </c>
      <c r="ES81" s="3">
        <f t="shared" si="67"/>
        <v>0</v>
      </c>
      <c r="ET81" s="3">
        <f t="shared" si="67"/>
        <v>0</v>
      </c>
      <c r="EU81" s="3">
        <f t="shared" si="67"/>
        <v>0</v>
      </c>
      <c r="EV81" s="3">
        <f t="shared" si="67"/>
        <v>0</v>
      </c>
      <c r="EW81" s="3">
        <f t="shared" si="67"/>
        <v>0</v>
      </c>
      <c r="EX81" s="3">
        <f t="shared" si="67"/>
        <v>0</v>
      </c>
      <c r="EY81" s="3">
        <f t="shared" si="67"/>
        <v>0</v>
      </c>
      <c r="EZ81" s="3">
        <f t="shared" si="67"/>
        <v>0</v>
      </c>
      <c r="FA81" s="3">
        <f t="shared" si="67"/>
        <v>0</v>
      </c>
      <c r="FB81" s="3">
        <f t="shared" si="67"/>
        <v>0</v>
      </c>
      <c r="FC81" s="3">
        <f t="shared" si="67"/>
        <v>0</v>
      </c>
      <c r="FD81" s="3">
        <f t="shared" si="67"/>
        <v>0</v>
      </c>
      <c r="FE81" s="3">
        <f t="shared" si="67"/>
        <v>0</v>
      </c>
      <c r="FF81" s="3">
        <f t="shared" si="67"/>
        <v>0</v>
      </c>
      <c r="FG81" s="3">
        <f t="shared" si="67"/>
        <v>0</v>
      </c>
      <c r="FH81" s="3">
        <f t="shared" si="67"/>
        <v>0</v>
      </c>
      <c r="FI81" s="3">
        <f t="shared" si="67"/>
        <v>0</v>
      </c>
      <c r="FJ81" s="3">
        <f t="shared" si="67"/>
        <v>0</v>
      </c>
      <c r="FK81" s="3">
        <f t="shared" si="67"/>
        <v>0</v>
      </c>
      <c r="FL81" s="3">
        <f t="shared" si="67"/>
        <v>0</v>
      </c>
      <c r="FM81" s="3">
        <f t="shared" si="67"/>
        <v>0</v>
      </c>
      <c r="FN81" s="3">
        <f t="shared" si="67"/>
        <v>0</v>
      </c>
      <c r="FO81" s="3">
        <f t="shared" si="67"/>
        <v>0</v>
      </c>
      <c r="FP81" s="3">
        <f t="shared" si="67"/>
        <v>0</v>
      </c>
      <c r="FQ81" s="3">
        <f t="shared" si="67"/>
        <v>0</v>
      </c>
      <c r="FR81" s="3">
        <f t="shared" si="67"/>
        <v>0</v>
      </c>
      <c r="FS81" s="3">
        <f t="shared" ref="FS81:GX81" si="68">FS96</f>
        <v>0</v>
      </c>
      <c r="FT81" s="3">
        <f t="shared" si="68"/>
        <v>0</v>
      </c>
      <c r="FU81" s="3">
        <f t="shared" si="68"/>
        <v>0</v>
      </c>
      <c r="FV81" s="3">
        <f t="shared" si="68"/>
        <v>0</v>
      </c>
      <c r="FW81" s="3">
        <f t="shared" si="68"/>
        <v>0</v>
      </c>
      <c r="FX81" s="3">
        <f t="shared" si="68"/>
        <v>0</v>
      </c>
      <c r="FY81" s="3">
        <f t="shared" si="68"/>
        <v>0</v>
      </c>
      <c r="FZ81" s="3">
        <f t="shared" si="68"/>
        <v>0</v>
      </c>
      <c r="GA81" s="3">
        <f t="shared" si="68"/>
        <v>0</v>
      </c>
      <c r="GB81" s="3">
        <f t="shared" si="68"/>
        <v>0</v>
      </c>
      <c r="GC81" s="3">
        <f t="shared" si="68"/>
        <v>0</v>
      </c>
      <c r="GD81" s="3">
        <f t="shared" si="68"/>
        <v>0</v>
      </c>
      <c r="GE81" s="3">
        <f t="shared" si="68"/>
        <v>0</v>
      </c>
      <c r="GF81" s="3">
        <f t="shared" si="68"/>
        <v>0</v>
      </c>
      <c r="GG81" s="3">
        <f t="shared" si="68"/>
        <v>0</v>
      </c>
      <c r="GH81" s="3">
        <f t="shared" si="68"/>
        <v>0</v>
      </c>
      <c r="GI81" s="3">
        <f t="shared" si="68"/>
        <v>0</v>
      </c>
      <c r="GJ81" s="3">
        <f t="shared" si="68"/>
        <v>0</v>
      </c>
      <c r="GK81" s="3">
        <f t="shared" si="68"/>
        <v>0</v>
      </c>
      <c r="GL81" s="3">
        <f t="shared" si="68"/>
        <v>0</v>
      </c>
      <c r="GM81" s="3">
        <f t="shared" si="68"/>
        <v>0</v>
      </c>
      <c r="GN81" s="3">
        <f t="shared" si="68"/>
        <v>0</v>
      </c>
      <c r="GO81" s="3">
        <f t="shared" si="68"/>
        <v>0</v>
      </c>
      <c r="GP81" s="3">
        <f t="shared" si="68"/>
        <v>0</v>
      </c>
      <c r="GQ81" s="3">
        <f t="shared" si="68"/>
        <v>0</v>
      </c>
      <c r="GR81" s="3">
        <f t="shared" si="68"/>
        <v>0</v>
      </c>
      <c r="GS81" s="3">
        <f t="shared" si="68"/>
        <v>0</v>
      </c>
      <c r="GT81" s="3">
        <f t="shared" si="68"/>
        <v>0</v>
      </c>
      <c r="GU81" s="3">
        <f t="shared" si="68"/>
        <v>0</v>
      </c>
      <c r="GV81" s="3">
        <f t="shared" si="68"/>
        <v>0</v>
      </c>
      <c r="GW81" s="3">
        <f t="shared" si="68"/>
        <v>0</v>
      </c>
      <c r="GX81" s="3">
        <f t="shared" si="68"/>
        <v>0</v>
      </c>
    </row>
    <row r="83" spans="1:245" x14ac:dyDescent="0.25">
      <c r="A83">
        <v>17</v>
      </c>
      <c r="B83">
        <v>1</v>
      </c>
      <c r="C83">
        <f>ROW(SmtRes!A23)</f>
        <v>23</v>
      </c>
      <c r="D83">
        <f>ROW(EtalonRes!A23)</f>
        <v>23</v>
      </c>
      <c r="E83" t="s">
        <v>148</v>
      </c>
      <c r="F83" t="s">
        <v>32</v>
      </c>
      <c r="G83" t="s">
        <v>33</v>
      </c>
      <c r="H83" t="s">
        <v>20</v>
      </c>
      <c r="I83">
        <f>ROUND(126985.2/1000,9)</f>
        <v>126.98520000000001</v>
      </c>
      <c r="J83">
        <v>0</v>
      </c>
      <c r="K83">
        <f>ROUND(126985.2/1000,9)</f>
        <v>126.98520000000001</v>
      </c>
      <c r="O83">
        <f t="shared" ref="O83:O94" si="69">ROUND(CP83,2)</f>
        <v>10305904.220000001</v>
      </c>
      <c r="P83">
        <f t="shared" ref="P83:P94" si="70">ROUND(CQ83*I83,2)</f>
        <v>237990.58</v>
      </c>
      <c r="Q83">
        <f t="shared" ref="Q83:Q94" si="71">ROUND(CR83*I83,2)</f>
        <v>10067913.640000001</v>
      </c>
      <c r="R83">
        <f t="shared" ref="R83:R94" si="72">ROUND(CS83*I83,2)</f>
        <v>4758725.93</v>
      </c>
      <c r="S83">
        <f t="shared" ref="S83:S94" si="73">ROUND(CT83*I83,2)</f>
        <v>0</v>
      </c>
      <c r="T83">
        <f t="shared" ref="T83:T94" si="74">ROUND(CU83*I83,2)</f>
        <v>0</v>
      </c>
      <c r="U83">
        <f t="shared" ref="U83:U94" si="75">CV83*I83</f>
        <v>0</v>
      </c>
      <c r="V83">
        <f t="shared" ref="V83:V94" si="76">CW83*I83</f>
        <v>0</v>
      </c>
      <c r="W83">
        <f t="shared" ref="W83:W94" si="77">ROUND(CX83*I83,2)</f>
        <v>0</v>
      </c>
      <c r="X83">
        <f t="shared" ref="X83:X94" si="78">ROUND(CY83,2)</f>
        <v>0</v>
      </c>
      <c r="Y83">
        <f t="shared" ref="Y83:Y94" si="79">ROUND(CZ83,2)</f>
        <v>0</v>
      </c>
      <c r="AA83">
        <v>80891185</v>
      </c>
      <c r="AB83">
        <f t="shared" ref="AB83:AB94" si="80">ROUND((AC83+AD83+AF83),6)</f>
        <v>81158.31</v>
      </c>
      <c r="AC83">
        <f>ROUND(((ES83*171)),6)</f>
        <v>1874.16</v>
      </c>
      <c r="AD83">
        <f>ROUND(((((ET83*171))-((EU83*171)))+AE83),6)</f>
        <v>79284.149999999994</v>
      </c>
      <c r="AE83">
        <f>ROUND(((EU83*171)),6)</f>
        <v>37474.65</v>
      </c>
      <c r="AF83">
        <f>ROUND(((EV83*171)),6)</f>
        <v>0</v>
      </c>
      <c r="AG83">
        <f t="shared" ref="AG83:AG94" si="81">ROUND((AP83),6)</f>
        <v>0</v>
      </c>
      <c r="AH83">
        <f>((EW83*171))</f>
        <v>0</v>
      </c>
      <c r="AI83">
        <f>((EX83*171))</f>
        <v>0</v>
      </c>
      <c r="AJ83">
        <f t="shared" ref="AJ83:AJ94" si="82">(AS83)</f>
        <v>0</v>
      </c>
      <c r="AK83">
        <v>474.61</v>
      </c>
      <c r="AL83">
        <v>10.96</v>
      </c>
      <c r="AM83">
        <v>463.65</v>
      </c>
      <c r="AN83">
        <v>219.15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34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ref="CP83:CP94" si="83">(P83+Q83+S83)</f>
        <v>10305904.220000001</v>
      </c>
      <c r="CQ83">
        <f t="shared" ref="CQ83:CQ94" si="84">(AC83*BC83*AW83)</f>
        <v>1874.16</v>
      </c>
      <c r="CR83">
        <f>(((((ET83*171))*BB83-((EU83*171))*BS83)+AE83*BS83)*AV83)</f>
        <v>79284.149999999994</v>
      </c>
      <c r="CS83">
        <f t="shared" ref="CS83:CS94" si="85">(AE83*BS83*AV83)</f>
        <v>37474.65</v>
      </c>
      <c r="CT83">
        <f t="shared" ref="CT83:CT94" si="86">(AF83*BA83*AV83)</f>
        <v>0</v>
      </c>
      <c r="CU83">
        <f t="shared" ref="CU83:CU94" si="87">AG83</f>
        <v>0</v>
      </c>
      <c r="CV83">
        <f t="shared" ref="CV83:CV94" si="88">(AH83*AV83)</f>
        <v>0</v>
      </c>
      <c r="CW83">
        <f t="shared" ref="CW83:CW94" si="89">AI83</f>
        <v>0</v>
      </c>
      <c r="CX83">
        <f t="shared" ref="CX83:CX94" si="90">AJ83</f>
        <v>0</v>
      </c>
      <c r="CY83">
        <f t="shared" ref="CY83:CY94" si="91">((S83*BZ83)/100)</f>
        <v>0</v>
      </c>
      <c r="CZ83">
        <f t="shared" ref="CZ83:CZ94" si="92">((S83*CA83)/100)</f>
        <v>0</v>
      </c>
      <c r="DC83" t="s">
        <v>3</v>
      </c>
      <c r="DD83" t="s">
        <v>149</v>
      </c>
      <c r="DE83" t="s">
        <v>149</v>
      </c>
      <c r="DF83" t="s">
        <v>149</v>
      </c>
      <c r="DG83" t="s">
        <v>149</v>
      </c>
      <c r="DH83" t="s">
        <v>3</v>
      </c>
      <c r="DI83" t="s">
        <v>149</v>
      </c>
      <c r="DJ83" t="s">
        <v>149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1005</v>
      </c>
      <c r="DV83" t="s">
        <v>20</v>
      </c>
      <c r="DW83" t="s">
        <v>20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80196140</v>
      </c>
      <c r="EF83">
        <v>1</v>
      </c>
      <c r="EG83" t="s">
        <v>23</v>
      </c>
      <c r="EH83">
        <v>0</v>
      </c>
      <c r="EI83" t="s">
        <v>3</v>
      </c>
      <c r="EJ83">
        <v>4</v>
      </c>
      <c r="EK83">
        <v>0</v>
      </c>
      <c r="EL83" t="s">
        <v>24</v>
      </c>
      <c r="EM83" t="s">
        <v>25</v>
      </c>
      <c r="EO83" t="s">
        <v>3</v>
      </c>
      <c r="EQ83">
        <v>0</v>
      </c>
      <c r="ER83">
        <v>474.61</v>
      </c>
      <c r="ES83">
        <v>10.96</v>
      </c>
      <c r="ET83">
        <v>463.65</v>
      </c>
      <c r="EU83">
        <v>219.15</v>
      </c>
      <c r="EV83">
        <v>0</v>
      </c>
      <c r="EW83">
        <v>0</v>
      </c>
      <c r="EX83">
        <v>0</v>
      </c>
      <c r="EY83">
        <v>0</v>
      </c>
      <c r="FQ83">
        <v>0</v>
      </c>
      <c r="FR83"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-64890484</v>
      </c>
      <c r="GG83">
        <v>2</v>
      </c>
      <c r="GH83">
        <v>1</v>
      </c>
      <c r="GI83">
        <v>-2</v>
      </c>
      <c r="GJ83">
        <v>0</v>
      </c>
      <c r="GK83">
        <f>ROUND(R83*(R12)/100,2)</f>
        <v>5139424</v>
      </c>
      <c r="GL83">
        <f t="shared" ref="GL83:GL94" si="93">ROUND(IF(AND(BH83=3,BI83=3,FS83&lt;&gt;0),P83,0),2)</f>
        <v>0</v>
      </c>
      <c r="GM83">
        <f t="shared" ref="GM83:GM94" si="94">ROUND(O83+X83+Y83+GK83,2)+GX83</f>
        <v>15445328.220000001</v>
      </c>
      <c r="GN83">
        <f t="shared" ref="GN83:GN94" si="95">IF(OR(BI83=0,BI83=1),GM83-GX83,0)</f>
        <v>0</v>
      </c>
      <c r="GO83">
        <f t="shared" ref="GO83:GO94" si="96">IF(BI83=2,GM83-GX83,0)</f>
        <v>0</v>
      </c>
      <c r="GP83">
        <f t="shared" ref="GP83:GP94" si="97">IF(BI83=4,GM83-GX83,0)</f>
        <v>15445328.220000001</v>
      </c>
      <c r="GR83">
        <v>0</v>
      </c>
      <c r="GS83">
        <v>3</v>
      </c>
      <c r="GT83">
        <v>0</v>
      </c>
      <c r="GU83" t="s">
        <v>3</v>
      </c>
      <c r="GV83">
        <f t="shared" ref="GV83:GV94" si="98">ROUND((GT83),6)</f>
        <v>0</v>
      </c>
      <c r="GW83">
        <v>1</v>
      </c>
      <c r="GX83">
        <f t="shared" ref="GX83:GX94" si="99">ROUND(HC83*I83,2)</f>
        <v>0</v>
      </c>
      <c r="HA83">
        <v>0</v>
      </c>
      <c r="HB83">
        <v>0</v>
      </c>
      <c r="HC83">
        <f t="shared" ref="HC83:HC94" si="100">GV83*GW83</f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HS83">
        <v>0</v>
      </c>
      <c r="IK83">
        <v>0</v>
      </c>
    </row>
    <row r="84" spans="1:245" x14ac:dyDescent="0.25">
      <c r="A84">
        <v>18</v>
      </c>
      <c r="B84">
        <v>1</v>
      </c>
      <c r="C84">
        <v>23</v>
      </c>
      <c r="E84" t="s">
        <v>150</v>
      </c>
      <c r="F84" t="s">
        <v>37</v>
      </c>
      <c r="G84" t="s">
        <v>38</v>
      </c>
      <c r="H84" t="s">
        <v>39</v>
      </c>
      <c r="I84">
        <f>I83*J84</f>
        <v>-4342.8938399999997</v>
      </c>
      <c r="J84">
        <v>-34.199999999999996</v>
      </c>
      <c r="K84">
        <v>-0.2</v>
      </c>
      <c r="O84">
        <f t="shared" si="69"/>
        <v>-238034.01</v>
      </c>
      <c r="P84">
        <f t="shared" si="70"/>
        <v>-238034.01</v>
      </c>
      <c r="Q84">
        <f t="shared" si="71"/>
        <v>0</v>
      </c>
      <c r="R84">
        <f t="shared" si="72"/>
        <v>0</v>
      </c>
      <c r="S84">
        <f t="shared" si="73"/>
        <v>0</v>
      </c>
      <c r="T84">
        <f t="shared" si="74"/>
        <v>0</v>
      </c>
      <c r="U84">
        <f t="shared" si="75"/>
        <v>0</v>
      </c>
      <c r="V84">
        <f t="shared" si="76"/>
        <v>0</v>
      </c>
      <c r="W84">
        <f t="shared" si="77"/>
        <v>0</v>
      </c>
      <c r="X84">
        <f t="shared" si="78"/>
        <v>0</v>
      </c>
      <c r="Y84">
        <f t="shared" si="79"/>
        <v>0</v>
      </c>
      <c r="AA84">
        <v>80891185</v>
      </c>
      <c r="AB84">
        <f t="shared" si="80"/>
        <v>54.81</v>
      </c>
      <c r="AC84">
        <f>ROUND((ES84),6)</f>
        <v>54.81</v>
      </c>
      <c r="AD84">
        <f>ROUND((((ET84)-(EU84))+AE84),6)</f>
        <v>0</v>
      </c>
      <c r="AE84">
        <f>ROUND((EU84),6)</f>
        <v>0</v>
      </c>
      <c r="AF84">
        <f>ROUND((EV84),6)</f>
        <v>0</v>
      </c>
      <c r="AG84">
        <f t="shared" si="81"/>
        <v>0</v>
      </c>
      <c r="AH84">
        <f>(EW84)</f>
        <v>0</v>
      </c>
      <c r="AI84">
        <f>(EX84)</f>
        <v>0</v>
      </c>
      <c r="AJ84">
        <f t="shared" si="82"/>
        <v>0</v>
      </c>
      <c r="AK84">
        <v>54.81</v>
      </c>
      <c r="AL84">
        <v>54.81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4</v>
      </c>
      <c r="BJ84" t="s">
        <v>40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1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3"/>
        <v>-238034.01</v>
      </c>
      <c r="CQ84">
        <f t="shared" si="84"/>
        <v>54.81</v>
      </c>
      <c r="CR84">
        <f>((((ET84)*BB84-(EU84)*BS84)+AE84*BS84)*AV84)</f>
        <v>0</v>
      </c>
      <c r="CS84">
        <f t="shared" si="85"/>
        <v>0</v>
      </c>
      <c r="CT84">
        <f t="shared" si="86"/>
        <v>0</v>
      </c>
      <c r="CU84">
        <f t="shared" si="87"/>
        <v>0</v>
      </c>
      <c r="CV84">
        <f t="shared" si="88"/>
        <v>0</v>
      </c>
      <c r="CW84">
        <f t="shared" si="89"/>
        <v>0</v>
      </c>
      <c r="CX84">
        <f t="shared" si="90"/>
        <v>0</v>
      </c>
      <c r="CY84">
        <f t="shared" si="91"/>
        <v>0</v>
      </c>
      <c r="CZ84">
        <f t="shared" si="92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1007</v>
      </c>
      <c r="DV84" t="s">
        <v>39</v>
      </c>
      <c r="DW84" t="s">
        <v>39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80196140</v>
      </c>
      <c r="EF84">
        <v>1</v>
      </c>
      <c r="EG84" t="s">
        <v>23</v>
      </c>
      <c r="EH84">
        <v>0</v>
      </c>
      <c r="EI84" t="s">
        <v>3</v>
      </c>
      <c r="EJ84">
        <v>4</v>
      </c>
      <c r="EK84">
        <v>0</v>
      </c>
      <c r="EL84" t="s">
        <v>24</v>
      </c>
      <c r="EM84" t="s">
        <v>25</v>
      </c>
      <c r="EO84" t="s">
        <v>3</v>
      </c>
      <c r="EQ84">
        <v>0</v>
      </c>
      <c r="ER84">
        <v>54.81</v>
      </c>
      <c r="ES84">
        <v>54.81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2112060389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3"/>
        <v>0</v>
      </c>
      <c r="GM84">
        <f t="shared" si="94"/>
        <v>-238034.01</v>
      </c>
      <c r="GN84">
        <f t="shared" si="95"/>
        <v>0</v>
      </c>
      <c r="GO84">
        <f t="shared" si="96"/>
        <v>0</v>
      </c>
      <c r="GP84">
        <f t="shared" si="97"/>
        <v>-238034.01</v>
      </c>
      <c r="GR84">
        <v>0</v>
      </c>
      <c r="GS84">
        <v>3</v>
      </c>
      <c r="GT84">
        <v>0</v>
      </c>
      <c r="GU84" t="s">
        <v>3</v>
      </c>
      <c r="GV84">
        <f t="shared" si="98"/>
        <v>0</v>
      </c>
      <c r="GW84">
        <v>1</v>
      </c>
      <c r="GX84">
        <f t="shared" si="99"/>
        <v>0</v>
      </c>
      <c r="HA84">
        <v>0</v>
      </c>
      <c r="HB84">
        <v>0</v>
      </c>
      <c r="HC84">
        <f t="shared" si="100"/>
        <v>0</v>
      </c>
      <c r="HE84" t="s">
        <v>3</v>
      </c>
      <c r="HF84" t="s">
        <v>3</v>
      </c>
      <c r="HM84" t="s">
        <v>149</v>
      </c>
      <c r="HN84" t="s">
        <v>3</v>
      </c>
      <c r="HO84" t="s">
        <v>3</v>
      </c>
      <c r="HP84" t="s">
        <v>3</v>
      </c>
      <c r="HQ84" t="s">
        <v>3</v>
      </c>
      <c r="HS84">
        <v>0</v>
      </c>
      <c r="IK84">
        <v>0</v>
      </c>
    </row>
    <row r="85" spans="1:245" x14ac:dyDescent="0.25">
      <c r="A85">
        <v>17</v>
      </c>
      <c r="B85">
        <v>1</v>
      </c>
      <c r="C85">
        <f>ROW(SmtRes!A24)</f>
        <v>24</v>
      </c>
      <c r="D85">
        <f>ROW(EtalonRes!A24)</f>
        <v>24</v>
      </c>
      <c r="E85" t="s">
        <v>151</v>
      </c>
      <c r="F85" t="s">
        <v>42</v>
      </c>
      <c r="G85" t="s">
        <v>43</v>
      </c>
      <c r="H85" t="s">
        <v>29</v>
      </c>
      <c r="I85">
        <f>ROUND(31746.3/100,9)</f>
        <v>317.46300000000002</v>
      </c>
      <c r="J85">
        <v>0</v>
      </c>
      <c r="K85">
        <f>ROUND(31746.3/100,9)</f>
        <v>317.46300000000002</v>
      </c>
      <c r="O85">
        <f t="shared" si="69"/>
        <v>3443914.82</v>
      </c>
      <c r="P85">
        <f t="shared" si="70"/>
        <v>0</v>
      </c>
      <c r="Q85">
        <f t="shared" si="71"/>
        <v>0</v>
      </c>
      <c r="R85">
        <f t="shared" si="72"/>
        <v>0</v>
      </c>
      <c r="S85">
        <f t="shared" si="73"/>
        <v>3443914.82</v>
      </c>
      <c r="T85">
        <f t="shared" si="74"/>
        <v>0</v>
      </c>
      <c r="U85">
        <f t="shared" si="75"/>
        <v>7600.0642200000011</v>
      </c>
      <c r="V85">
        <f t="shared" si="76"/>
        <v>0</v>
      </c>
      <c r="W85">
        <f t="shared" si="77"/>
        <v>0</v>
      </c>
      <c r="X85">
        <f t="shared" si="78"/>
        <v>2410740.37</v>
      </c>
      <c r="Y85">
        <f t="shared" si="79"/>
        <v>344391.48</v>
      </c>
      <c r="AA85">
        <v>80891185</v>
      </c>
      <c r="AB85">
        <f t="shared" si="80"/>
        <v>10848.24</v>
      </c>
      <c r="AC85">
        <f>ROUND(((ES85*171)),6)</f>
        <v>0</v>
      </c>
      <c r="AD85">
        <f>ROUND(((((ET85*171))-((EU85*171)))+AE85),6)</f>
        <v>0</v>
      </c>
      <c r="AE85">
        <f>ROUND(((EU85*171)),6)</f>
        <v>0</v>
      </c>
      <c r="AF85">
        <f>ROUND(((EV85*171)),6)</f>
        <v>10848.24</v>
      </c>
      <c r="AG85">
        <f t="shared" si="81"/>
        <v>0</v>
      </c>
      <c r="AH85">
        <f>((EW85*171))</f>
        <v>23.94</v>
      </c>
      <c r="AI85">
        <f>((EX85*171))</f>
        <v>0</v>
      </c>
      <c r="AJ85">
        <f t="shared" si="82"/>
        <v>0</v>
      </c>
      <c r="AK85">
        <v>63.44</v>
      </c>
      <c r="AL85">
        <v>0</v>
      </c>
      <c r="AM85">
        <v>0</v>
      </c>
      <c r="AN85">
        <v>0</v>
      </c>
      <c r="AO85">
        <v>63.44</v>
      </c>
      <c r="AP85">
        <v>0</v>
      </c>
      <c r="AQ85">
        <v>0.14000000000000001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44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si="83"/>
        <v>3443914.82</v>
      </c>
      <c r="CQ85">
        <f t="shared" si="84"/>
        <v>0</v>
      </c>
      <c r="CR85">
        <f>(((((ET85*171))*BB85-((EU85*171))*BS85)+AE85*BS85)*AV85)</f>
        <v>0</v>
      </c>
      <c r="CS85">
        <f t="shared" si="85"/>
        <v>0</v>
      </c>
      <c r="CT85">
        <f t="shared" si="86"/>
        <v>10848.24</v>
      </c>
      <c r="CU85">
        <f t="shared" si="87"/>
        <v>0</v>
      </c>
      <c r="CV85">
        <f t="shared" si="88"/>
        <v>23.94</v>
      </c>
      <c r="CW85">
        <f t="shared" si="89"/>
        <v>0</v>
      </c>
      <c r="CX85">
        <f t="shared" si="90"/>
        <v>0</v>
      </c>
      <c r="CY85">
        <f t="shared" si="91"/>
        <v>2410740.3739999998</v>
      </c>
      <c r="CZ85">
        <f t="shared" si="92"/>
        <v>344391.48199999996</v>
      </c>
      <c r="DC85" t="s">
        <v>3</v>
      </c>
      <c r="DD85" t="s">
        <v>149</v>
      </c>
      <c r="DE85" t="s">
        <v>149</v>
      </c>
      <c r="DF85" t="s">
        <v>149</v>
      </c>
      <c r="DG85" t="s">
        <v>149</v>
      </c>
      <c r="DH85" t="s">
        <v>3</v>
      </c>
      <c r="DI85" t="s">
        <v>149</v>
      </c>
      <c r="DJ85" t="s">
        <v>149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1005</v>
      </c>
      <c r="DV85" t="s">
        <v>29</v>
      </c>
      <c r="DW85" t="s">
        <v>29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80196140</v>
      </c>
      <c r="EF85">
        <v>1</v>
      </c>
      <c r="EG85" t="s">
        <v>23</v>
      </c>
      <c r="EH85">
        <v>0</v>
      </c>
      <c r="EI85" t="s">
        <v>3</v>
      </c>
      <c r="EJ85">
        <v>4</v>
      </c>
      <c r="EK85">
        <v>0</v>
      </c>
      <c r="EL85" t="s">
        <v>24</v>
      </c>
      <c r="EM85" t="s">
        <v>25</v>
      </c>
      <c r="EO85" t="s">
        <v>3</v>
      </c>
      <c r="EQ85">
        <v>0</v>
      </c>
      <c r="ER85">
        <v>63.44</v>
      </c>
      <c r="ES85">
        <v>0</v>
      </c>
      <c r="ET85">
        <v>0</v>
      </c>
      <c r="EU85">
        <v>0</v>
      </c>
      <c r="EV85">
        <v>63.44</v>
      </c>
      <c r="EW85">
        <v>0.14000000000000001</v>
      </c>
      <c r="EX85">
        <v>0</v>
      </c>
      <c r="EY85">
        <v>0</v>
      </c>
      <c r="FQ85">
        <v>0</v>
      </c>
      <c r="FR85"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-502436687</v>
      </c>
      <c r="GG85">
        <v>2</v>
      </c>
      <c r="GH85">
        <v>1</v>
      </c>
      <c r="GI85">
        <v>-2</v>
      </c>
      <c r="GJ85">
        <v>0</v>
      </c>
      <c r="GK85">
        <f>ROUND(R85*(R12)/100,2)</f>
        <v>0</v>
      </c>
      <c r="GL85">
        <f t="shared" si="93"/>
        <v>0</v>
      </c>
      <c r="GM85">
        <f t="shared" si="94"/>
        <v>6199046.6699999999</v>
      </c>
      <c r="GN85">
        <f t="shared" si="95"/>
        <v>0</v>
      </c>
      <c r="GO85">
        <f t="shared" si="96"/>
        <v>0</v>
      </c>
      <c r="GP85">
        <f t="shared" si="97"/>
        <v>6199046.6699999999</v>
      </c>
      <c r="GR85">
        <v>0</v>
      </c>
      <c r="GS85">
        <v>3</v>
      </c>
      <c r="GT85">
        <v>0</v>
      </c>
      <c r="GU85" t="s">
        <v>3</v>
      </c>
      <c r="GV85">
        <f t="shared" si="98"/>
        <v>0</v>
      </c>
      <c r="GW85">
        <v>1</v>
      </c>
      <c r="GX85">
        <f t="shared" si="99"/>
        <v>0</v>
      </c>
      <c r="HA85">
        <v>0</v>
      </c>
      <c r="HB85">
        <v>0</v>
      </c>
      <c r="HC85">
        <f t="shared" si="100"/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HS85">
        <v>0</v>
      </c>
      <c r="IK85">
        <v>0</v>
      </c>
    </row>
    <row r="86" spans="1:245" x14ac:dyDescent="0.25">
      <c r="A86">
        <v>17</v>
      </c>
      <c r="B86">
        <v>1</v>
      </c>
      <c r="C86">
        <f>ROW(SmtRes!A26)</f>
        <v>26</v>
      </c>
      <c r="D86">
        <f>ROW(EtalonRes!A26)</f>
        <v>26</v>
      </c>
      <c r="E86" t="s">
        <v>152</v>
      </c>
      <c r="F86" t="s">
        <v>153</v>
      </c>
      <c r="G86" t="s">
        <v>154</v>
      </c>
      <c r="H86" t="s">
        <v>20</v>
      </c>
      <c r="I86">
        <f>ROUND(126985.2/1000,9)</f>
        <v>126.98520000000001</v>
      </c>
      <c r="J86">
        <v>0</v>
      </c>
      <c r="K86">
        <f>ROUND(126985.2/1000,9)</f>
        <v>126.98520000000001</v>
      </c>
      <c r="O86">
        <f t="shared" si="69"/>
        <v>1365629.32</v>
      </c>
      <c r="P86">
        <f t="shared" si="70"/>
        <v>34098.07</v>
      </c>
      <c r="Q86">
        <f t="shared" si="71"/>
        <v>1331531.25</v>
      </c>
      <c r="R86">
        <f t="shared" si="72"/>
        <v>629356.43000000005</v>
      </c>
      <c r="S86">
        <f t="shared" si="73"/>
        <v>0</v>
      </c>
      <c r="T86">
        <f t="shared" si="74"/>
        <v>0</v>
      </c>
      <c r="U86">
        <f t="shared" si="75"/>
        <v>0</v>
      </c>
      <c r="V86">
        <f t="shared" si="76"/>
        <v>0</v>
      </c>
      <c r="W86">
        <f t="shared" si="77"/>
        <v>0</v>
      </c>
      <c r="X86">
        <f t="shared" si="78"/>
        <v>0</v>
      </c>
      <c r="Y86">
        <f t="shared" si="79"/>
        <v>0</v>
      </c>
      <c r="AA86">
        <v>80891185</v>
      </c>
      <c r="AB86">
        <f t="shared" si="80"/>
        <v>10754.24</v>
      </c>
      <c r="AC86">
        <f>ROUND(((ES86*14)),6)</f>
        <v>268.52</v>
      </c>
      <c r="AD86">
        <f>ROUND(((((ET86*14))-((EU86*14)))+AE86),6)</f>
        <v>10485.719999999999</v>
      </c>
      <c r="AE86">
        <f>ROUND(((EU86*14)),6)</f>
        <v>4956.1400000000003</v>
      </c>
      <c r="AF86">
        <f>ROUND(((EV86*14)),6)</f>
        <v>0</v>
      </c>
      <c r="AG86">
        <f t="shared" si="81"/>
        <v>0</v>
      </c>
      <c r="AH86">
        <f>((EW86*14))</f>
        <v>0</v>
      </c>
      <c r="AI86">
        <f>((EX86*14))</f>
        <v>0</v>
      </c>
      <c r="AJ86">
        <f t="shared" si="82"/>
        <v>0</v>
      </c>
      <c r="AK86">
        <v>768.16</v>
      </c>
      <c r="AL86">
        <v>19.18</v>
      </c>
      <c r="AM86">
        <v>748.98</v>
      </c>
      <c r="AN86">
        <v>354.01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70</v>
      </c>
      <c r="AU86">
        <v>10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1</v>
      </c>
      <c r="BD86" t="s">
        <v>3</v>
      </c>
      <c r="BE86" t="s">
        <v>3</v>
      </c>
      <c r="BF86" t="s">
        <v>3</v>
      </c>
      <c r="BG86" t="s">
        <v>3</v>
      </c>
      <c r="BH86">
        <v>0</v>
      </c>
      <c r="BI86">
        <v>4</v>
      </c>
      <c r="BJ86" t="s">
        <v>155</v>
      </c>
      <c r="BM86">
        <v>0</v>
      </c>
      <c r="BN86">
        <v>0</v>
      </c>
      <c r="BO86" t="s">
        <v>3</v>
      </c>
      <c r="BP86">
        <v>0</v>
      </c>
      <c r="BQ86">
        <v>1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70</v>
      </c>
      <c r="CA86">
        <v>10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83"/>
        <v>1365629.32</v>
      </c>
      <c r="CQ86">
        <f t="shared" si="84"/>
        <v>268.52</v>
      </c>
      <c r="CR86">
        <f>(((((ET86*14))*BB86-((EU86*14))*BS86)+AE86*BS86)*AV86)</f>
        <v>10485.720000000001</v>
      </c>
      <c r="CS86">
        <f t="shared" si="85"/>
        <v>4956.1400000000003</v>
      </c>
      <c r="CT86">
        <f t="shared" si="86"/>
        <v>0</v>
      </c>
      <c r="CU86">
        <f t="shared" si="87"/>
        <v>0</v>
      </c>
      <c r="CV86">
        <f t="shared" si="88"/>
        <v>0</v>
      </c>
      <c r="CW86">
        <f t="shared" si="89"/>
        <v>0</v>
      </c>
      <c r="CX86">
        <f t="shared" si="90"/>
        <v>0</v>
      </c>
      <c r="CY86">
        <f t="shared" si="91"/>
        <v>0</v>
      </c>
      <c r="CZ86">
        <f t="shared" si="92"/>
        <v>0</v>
      </c>
      <c r="DC86" t="s">
        <v>3</v>
      </c>
      <c r="DD86" t="s">
        <v>156</v>
      </c>
      <c r="DE86" t="s">
        <v>156</v>
      </c>
      <c r="DF86" t="s">
        <v>156</v>
      </c>
      <c r="DG86" t="s">
        <v>156</v>
      </c>
      <c r="DH86" t="s">
        <v>3</v>
      </c>
      <c r="DI86" t="s">
        <v>156</v>
      </c>
      <c r="DJ86" t="s">
        <v>156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1005</v>
      </c>
      <c r="DV86" t="s">
        <v>20</v>
      </c>
      <c r="DW86" t="s">
        <v>20</v>
      </c>
      <c r="DX86">
        <v>1000</v>
      </c>
      <c r="DZ86" t="s">
        <v>3</v>
      </c>
      <c r="EA86" t="s">
        <v>3</v>
      </c>
      <c r="EB86" t="s">
        <v>3</v>
      </c>
      <c r="EC86" t="s">
        <v>3</v>
      </c>
      <c r="EE86">
        <v>80196140</v>
      </c>
      <c r="EF86">
        <v>1</v>
      </c>
      <c r="EG86" t="s">
        <v>23</v>
      </c>
      <c r="EH86">
        <v>0</v>
      </c>
      <c r="EI86" t="s">
        <v>3</v>
      </c>
      <c r="EJ86">
        <v>4</v>
      </c>
      <c r="EK86">
        <v>0</v>
      </c>
      <c r="EL86" t="s">
        <v>24</v>
      </c>
      <c r="EM86" t="s">
        <v>25</v>
      </c>
      <c r="EO86" t="s">
        <v>3</v>
      </c>
      <c r="EQ86">
        <v>0</v>
      </c>
      <c r="ER86">
        <v>768.16</v>
      </c>
      <c r="ES86">
        <v>19.18</v>
      </c>
      <c r="ET86">
        <v>748.98</v>
      </c>
      <c r="EU86">
        <v>354.01</v>
      </c>
      <c r="EV86">
        <v>0</v>
      </c>
      <c r="EW86">
        <v>0</v>
      </c>
      <c r="EX86">
        <v>0</v>
      </c>
      <c r="EY86">
        <v>0</v>
      </c>
      <c r="FQ86">
        <v>0</v>
      </c>
      <c r="FR86">
        <v>0</v>
      </c>
      <c r="FS86">
        <v>0</v>
      </c>
      <c r="FX86">
        <v>70</v>
      </c>
      <c r="FY86">
        <v>10</v>
      </c>
      <c r="GA86" t="s">
        <v>3</v>
      </c>
      <c r="GD86">
        <v>0</v>
      </c>
      <c r="GF86">
        <v>-1951941252</v>
      </c>
      <c r="GG86">
        <v>2</v>
      </c>
      <c r="GH86">
        <v>1</v>
      </c>
      <c r="GI86">
        <v>-2</v>
      </c>
      <c r="GJ86">
        <v>0</v>
      </c>
      <c r="GK86">
        <f>ROUND(R86*(R12)/100,2)</f>
        <v>679704.94</v>
      </c>
      <c r="GL86">
        <f t="shared" si="93"/>
        <v>0</v>
      </c>
      <c r="GM86">
        <f t="shared" si="94"/>
        <v>2045334.26</v>
      </c>
      <c r="GN86">
        <f t="shared" si="95"/>
        <v>0</v>
      </c>
      <c r="GO86">
        <f t="shared" si="96"/>
        <v>0</v>
      </c>
      <c r="GP86">
        <f t="shared" si="97"/>
        <v>2045334.26</v>
      </c>
      <c r="GR86">
        <v>0</v>
      </c>
      <c r="GS86">
        <v>3</v>
      </c>
      <c r="GT86">
        <v>0</v>
      </c>
      <c r="GU86" t="s">
        <v>3</v>
      </c>
      <c r="GV86">
        <f t="shared" si="98"/>
        <v>0</v>
      </c>
      <c r="GW86">
        <v>1</v>
      </c>
      <c r="GX86">
        <f t="shared" si="99"/>
        <v>0</v>
      </c>
      <c r="HA86">
        <v>0</v>
      </c>
      <c r="HB86">
        <v>0</v>
      </c>
      <c r="HC86">
        <f t="shared" si="100"/>
        <v>0</v>
      </c>
      <c r="HE86" t="s">
        <v>3</v>
      </c>
      <c r="HF86" t="s">
        <v>3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HS86">
        <v>0</v>
      </c>
      <c r="IK86">
        <v>0</v>
      </c>
    </row>
    <row r="87" spans="1:245" x14ac:dyDescent="0.25">
      <c r="A87">
        <v>18</v>
      </c>
      <c r="B87">
        <v>1</v>
      </c>
      <c r="C87">
        <v>26</v>
      </c>
      <c r="E87" t="s">
        <v>157</v>
      </c>
      <c r="F87" t="s">
        <v>37</v>
      </c>
      <c r="G87" t="s">
        <v>38</v>
      </c>
      <c r="H87" t="s">
        <v>39</v>
      </c>
      <c r="I87">
        <f>I86*J87</f>
        <v>-622.22748000000001</v>
      </c>
      <c r="J87">
        <v>-4.8999999999999995</v>
      </c>
      <c r="K87">
        <v>-0.35</v>
      </c>
      <c r="O87">
        <f t="shared" si="69"/>
        <v>-34104.29</v>
      </c>
      <c r="P87">
        <f t="shared" si="70"/>
        <v>-34104.29</v>
      </c>
      <c r="Q87">
        <f t="shared" si="71"/>
        <v>0</v>
      </c>
      <c r="R87">
        <f t="shared" si="72"/>
        <v>0</v>
      </c>
      <c r="S87">
        <f t="shared" si="73"/>
        <v>0</v>
      </c>
      <c r="T87">
        <f t="shared" si="74"/>
        <v>0</v>
      </c>
      <c r="U87">
        <f t="shared" si="75"/>
        <v>0</v>
      </c>
      <c r="V87">
        <f t="shared" si="76"/>
        <v>0</v>
      </c>
      <c r="W87">
        <f t="shared" si="77"/>
        <v>0</v>
      </c>
      <c r="X87">
        <f t="shared" si="78"/>
        <v>0</v>
      </c>
      <c r="Y87">
        <f t="shared" si="79"/>
        <v>0</v>
      </c>
      <c r="AA87">
        <v>80891185</v>
      </c>
      <c r="AB87">
        <f t="shared" si="80"/>
        <v>54.81</v>
      </c>
      <c r="AC87">
        <f>ROUND((ES87),6)</f>
        <v>54.81</v>
      </c>
      <c r="AD87">
        <f>ROUND((((ET87)-(EU87))+AE87),6)</f>
        <v>0</v>
      </c>
      <c r="AE87">
        <f>ROUND((EU87),6)</f>
        <v>0</v>
      </c>
      <c r="AF87">
        <f>ROUND((EV87),6)</f>
        <v>0</v>
      </c>
      <c r="AG87">
        <f t="shared" si="81"/>
        <v>0</v>
      </c>
      <c r="AH87">
        <f>(EW87)</f>
        <v>0</v>
      </c>
      <c r="AI87">
        <f>(EX87)</f>
        <v>0</v>
      </c>
      <c r="AJ87">
        <f t="shared" si="82"/>
        <v>0</v>
      </c>
      <c r="AK87">
        <v>54.81</v>
      </c>
      <c r="AL87">
        <v>54.81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70</v>
      </c>
      <c r="AU87">
        <v>10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1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4</v>
      </c>
      <c r="BJ87" t="s">
        <v>40</v>
      </c>
      <c r="BM87">
        <v>0</v>
      </c>
      <c r="BN87">
        <v>0</v>
      </c>
      <c r="BO87" t="s">
        <v>3</v>
      </c>
      <c r="BP87">
        <v>0</v>
      </c>
      <c r="BQ87">
        <v>1</v>
      </c>
      <c r="BR87">
        <v>1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70</v>
      </c>
      <c r="CA87">
        <v>10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83"/>
        <v>-34104.29</v>
      </c>
      <c r="CQ87">
        <f t="shared" si="84"/>
        <v>54.81</v>
      </c>
      <c r="CR87">
        <f>((((ET87)*BB87-(EU87)*BS87)+AE87*BS87)*AV87)</f>
        <v>0</v>
      </c>
      <c r="CS87">
        <f t="shared" si="85"/>
        <v>0</v>
      </c>
      <c r="CT87">
        <f t="shared" si="86"/>
        <v>0</v>
      </c>
      <c r="CU87">
        <f t="shared" si="87"/>
        <v>0</v>
      </c>
      <c r="CV87">
        <f t="shared" si="88"/>
        <v>0</v>
      </c>
      <c r="CW87">
        <f t="shared" si="89"/>
        <v>0</v>
      </c>
      <c r="CX87">
        <f t="shared" si="90"/>
        <v>0</v>
      </c>
      <c r="CY87">
        <f t="shared" si="91"/>
        <v>0</v>
      </c>
      <c r="CZ87">
        <f t="shared" si="92"/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1007</v>
      </c>
      <c r="DV87" t="s">
        <v>39</v>
      </c>
      <c r="DW87" t="s">
        <v>39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80196140</v>
      </c>
      <c r="EF87">
        <v>1</v>
      </c>
      <c r="EG87" t="s">
        <v>23</v>
      </c>
      <c r="EH87">
        <v>0</v>
      </c>
      <c r="EI87" t="s">
        <v>3</v>
      </c>
      <c r="EJ87">
        <v>4</v>
      </c>
      <c r="EK87">
        <v>0</v>
      </c>
      <c r="EL87" t="s">
        <v>24</v>
      </c>
      <c r="EM87" t="s">
        <v>25</v>
      </c>
      <c r="EO87" t="s">
        <v>3</v>
      </c>
      <c r="EQ87">
        <v>0</v>
      </c>
      <c r="ER87">
        <v>54.81</v>
      </c>
      <c r="ES87">
        <v>54.81</v>
      </c>
      <c r="ET87">
        <v>0</v>
      </c>
      <c r="EU87">
        <v>0</v>
      </c>
      <c r="EV87">
        <v>0</v>
      </c>
      <c r="EW87">
        <v>0</v>
      </c>
      <c r="EX87">
        <v>0</v>
      </c>
      <c r="FQ87">
        <v>0</v>
      </c>
      <c r="FR87">
        <v>0</v>
      </c>
      <c r="FS87">
        <v>0</v>
      </c>
      <c r="FX87">
        <v>70</v>
      </c>
      <c r="FY87">
        <v>10</v>
      </c>
      <c r="GA87" t="s">
        <v>3</v>
      </c>
      <c r="GD87">
        <v>0</v>
      </c>
      <c r="GF87">
        <v>2112060389</v>
      </c>
      <c r="GG87">
        <v>2</v>
      </c>
      <c r="GH87">
        <v>1</v>
      </c>
      <c r="GI87">
        <v>-2</v>
      </c>
      <c r="GJ87">
        <v>0</v>
      </c>
      <c r="GK87">
        <f>ROUND(R87*(R12)/100,2)</f>
        <v>0</v>
      </c>
      <c r="GL87">
        <f t="shared" si="93"/>
        <v>0</v>
      </c>
      <c r="GM87">
        <f t="shared" si="94"/>
        <v>-34104.29</v>
      </c>
      <c r="GN87">
        <f t="shared" si="95"/>
        <v>0</v>
      </c>
      <c r="GO87">
        <f t="shared" si="96"/>
        <v>0</v>
      </c>
      <c r="GP87">
        <f t="shared" si="97"/>
        <v>-34104.29</v>
      </c>
      <c r="GR87">
        <v>0</v>
      </c>
      <c r="GS87">
        <v>3</v>
      </c>
      <c r="GT87">
        <v>0</v>
      </c>
      <c r="GU87" t="s">
        <v>3</v>
      </c>
      <c r="GV87">
        <f t="shared" si="98"/>
        <v>0</v>
      </c>
      <c r="GW87">
        <v>1</v>
      </c>
      <c r="GX87">
        <f t="shared" si="99"/>
        <v>0</v>
      </c>
      <c r="HA87">
        <v>0</v>
      </c>
      <c r="HB87">
        <v>0</v>
      </c>
      <c r="HC87">
        <f t="shared" si="100"/>
        <v>0</v>
      </c>
      <c r="HE87" t="s">
        <v>3</v>
      </c>
      <c r="HF87" t="s">
        <v>3</v>
      </c>
      <c r="HM87" t="s">
        <v>156</v>
      </c>
      <c r="HN87" t="s">
        <v>3</v>
      </c>
      <c r="HO87" t="s">
        <v>3</v>
      </c>
      <c r="HP87" t="s">
        <v>3</v>
      </c>
      <c r="HQ87" t="s">
        <v>3</v>
      </c>
      <c r="HS87">
        <v>0</v>
      </c>
      <c r="IK87">
        <v>0</v>
      </c>
    </row>
    <row r="88" spans="1:245" x14ac:dyDescent="0.25">
      <c r="A88">
        <v>17</v>
      </c>
      <c r="B88">
        <v>1</v>
      </c>
      <c r="C88">
        <f>ROW(SmtRes!A29)</f>
        <v>29</v>
      </c>
      <c r="D88">
        <f>ROW(EtalonRes!A29)</f>
        <v>29</v>
      </c>
      <c r="E88" t="s">
        <v>158</v>
      </c>
      <c r="F88" t="s">
        <v>159</v>
      </c>
      <c r="G88" t="s">
        <v>160</v>
      </c>
      <c r="H88" t="s">
        <v>29</v>
      </c>
      <c r="I88">
        <v>0.8256</v>
      </c>
      <c r="J88">
        <v>0</v>
      </c>
      <c r="K88">
        <v>0.8256</v>
      </c>
      <c r="O88">
        <f t="shared" si="69"/>
        <v>37348.54</v>
      </c>
      <c r="P88">
        <f t="shared" si="70"/>
        <v>30.75</v>
      </c>
      <c r="Q88">
        <f t="shared" si="71"/>
        <v>0</v>
      </c>
      <c r="R88">
        <f t="shared" si="72"/>
        <v>0</v>
      </c>
      <c r="S88">
        <f t="shared" si="73"/>
        <v>37317.79</v>
      </c>
      <c r="T88">
        <f t="shared" si="74"/>
        <v>0</v>
      </c>
      <c r="U88">
        <f t="shared" si="75"/>
        <v>82.3536</v>
      </c>
      <c r="V88">
        <f t="shared" si="76"/>
        <v>0</v>
      </c>
      <c r="W88">
        <f t="shared" si="77"/>
        <v>0</v>
      </c>
      <c r="X88">
        <f t="shared" si="78"/>
        <v>26122.45</v>
      </c>
      <c r="Y88">
        <f t="shared" si="79"/>
        <v>3731.78</v>
      </c>
      <c r="AA88">
        <v>80891185</v>
      </c>
      <c r="AB88">
        <f t="shared" si="80"/>
        <v>45238.05</v>
      </c>
      <c r="AC88">
        <f>ROUND(((ES88*19)),6)</f>
        <v>37.24</v>
      </c>
      <c r="AD88">
        <f>ROUND(((((ET88*19))-((EU88*19)))+AE88),6)</f>
        <v>0</v>
      </c>
      <c r="AE88">
        <f>ROUND(((EU88*19)),6)</f>
        <v>0</v>
      </c>
      <c r="AF88">
        <f>ROUND(((EV88*19)),6)</f>
        <v>45200.81</v>
      </c>
      <c r="AG88">
        <f t="shared" si="81"/>
        <v>0</v>
      </c>
      <c r="AH88">
        <f>((EW88*19))</f>
        <v>99.75</v>
      </c>
      <c r="AI88">
        <f>((EX88*19))</f>
        <v>0</v>
      </c>
      <c r="AJ88">
        <f t="shared" si="82"/>
        <v>0</v>
      </c>
      <c r="AK88">
        <v>2380.9499999999998</v>
      </c>
      <c r="AL88">
        <v>1.96</v>
      </c>
      <c r="AM88">
        <v>0</v>
      </c>
      <c r="AN88">
        <v>0</v>
      </c>
      <c r="AO88">
        <v>2378.9899999999998</v>
      </c>
      <c r="AP88">
        <v>0</v>
      </c>
      <c r="AQ88">
        <v>5.25</v>
      </c>
      <c r="AR88">
        <v>0</v>
      </c>
      <c r="AS88">
        <v>0</v>
      </c>
      <c r="AT88">
        <v>70</v>
      </c>
      <c r="AU88">
        <v>10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1</v>
      </c>
      <c r="BD88" t="s">
        <v>3</v>
      </c>
      <c r="BE88" t="s">
        <v>3</v>
      </c>
      <c r="BF88" t="s">
        <v>3</v>
      </c>
      <c r="BG88" t="s">
        <v>3</v>
      </c>
      <c r="BH88">
        <v>0</v>
      </c>
      <c r="BI88">
        <v>4</v>
      </c>
      <c r="BJ88" t="s">
        <v>161</v>
      </c>
      <c r="BM88">
        <v>0</v>
      </c>
      <c r="BN88">
        <v>0</v>
      </c>
      <c r="BO88" t="s">
        <v>3</v>
      </c>
      <c r="BP88">
        <v>0</v>
      </c>
      <c r="BQ88">
        <v>1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70</v>
      </c>
      <c r="CA88">
        <v>10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83"/>
        <v>37348.54</v>
      </c>
      <c r="CQ88">
        <f t="shared" si="84"/>
        <v>37.24</v>
      </c>
      <c r="CR88">
        <f>(((((ET88*19))*BB88-((EU88*19))*BS88)+AE88*BS88)*AV88)</f>
        <v>0</v>
      </c>
      <c r="CS88">
        <f t="shared" si="85"/>
        <v>0</v>
      </c>
      <c r="CT88">
        <f t="shared" si="86"/>
        <v>45200.81</v>
      </c>
      <c r="CU88">
        <f t="shared" si="87"/>
        <v>0</v>
      </c>
      <c r="CV88">
        <f t="shared" si="88"/>
        <v>99.75</v>
      </c>
      <c r="CW88">
        <f t="shared" si="89"/>
        <v>0</v>
      </c>
      <c r="CX88">
        <f t="shared" si="90"/>
        <v>0</v>
      </c>
      <c r="CY88">
        <f t="shared" si="91"/>
        <v>26122.453000000001</v>
      </c>
      <c r="CZ88">
        <f t="shared" si="92"/>
        <v>3731.7790000000005</v>
      </c>
      <c r="DC88" t="s">
        <v>3</v>
      </c>
      <c r="DD88" t="s">
        <v>162</v>
      </c>
      <c r="DE88" t="s">
        <v>162</v>
      </c>
      <c r="DF88" t="s">
        <v>162</v>
      </c>
      <c r="DG88" t="s">
        <v>162</v>
      </c>
      <c r="DH88" t="s">
        <v>3</v>
      </c>
      <c r="DI88" t="s">
        <v>162</v>
      </c>
      <c r="DJ88" t="s">
        <v>162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1005</v>
      </c>
      <c r="DV88" t="s">
        <v>29</v>
      </c>
      <c r="DW88" t="s">
        <v>29</v>
      </c>
      <c r="DX88">
        <v>100</v>
      </c>
      <c r="DZ88" t="s">
        <v>3</v>
      </c>
      <c r="EA88" t="s">
        <v>3</v>
      </c>
      <c r="EB88" t="s">
        <v>3</v>
      </c>
      <c r="EC88" t="s">
        <v>3</v>
      </c>
      <c r="EE88">
        <v>80196140</v>
      </c>
      <c r="EF88">
        <v>1</v>
      </c>
      <c r="EG88" t="s">
        <v>23</v>
      </c>
      <c r="EH88">
        <v>0</v>
      </c>
      <c r="EI88" t="s">
        <v>3</v>
      </c>
      <c r="EJ88">
        <v>4</v>
      </c>
      <c r="EK88">
        <v>0</v>
      </c>
      <c r="EL88" t="s">
        <v>24</v>
      </c>
      <c r="EM88" t="s">
        <v>25</v>
      </c>
      <c r="EO88" t="s">
        <v>3</v>
      </c>
      <c r="EQ88">
        <v>0</v>
      </c>
      <c r="ER88">
        <v>2380.9499999999998</v>
      </c>
      <c r="ES88">
        <v>1.96</v>
      </c>
      <c r="ET88">
        <v>0</v>
      </c>
      <c r="EU88">
        <v>0</v>
      </c>
      <c r="EV88">
        <v>2378.9899999999998</v>
      </c>
      <c r="EW88">
        <v>5.25</v>
      </c>
      <c r="EX88">
        <v>0</v>
      </c>
      <c r="EY88">
        <v>0</v>
      </c>
      <c r="FQ88">
        <v>0</v>
      </c>
      <c r="FR88">
        <v>0</v>
      </c>
      <c r="FS88">
        <v>0</v>
      </c>
      <c r="FX88">
        <v>70</v>
      </c>
      <c r="FY88">
        <v>10</v>
      </c>
      <c r="GA88" t="s">
        <v>3</v>
      </c>
      <c r="GD88">
        <v>0</v>
      </c>
      <c r="GF88">
        <v>-256460189</v>
      </c>
      <c r="GG88">
        <v>2</v>
      </c>
      <c r="GH88">
        <v>1</v>
      </c>
      <c r="GI88">
        <v>-2</v>
      </c>
      <c r="GJ88">
        <v>0</v>
      </c>
      <c r="GK88">
        <f>ROUND(R88*(R12)/100,2)</f>
        <v>0</v>
      </c>
      <c r="GL88">
        <f t="shared" si="93"/>
        <v>0</v>
      </c>
      <c r="GM88">
        <f t="shared" si="94"/>
        <v>67202.77</v>
      </c>
      <c r="GN88">
        <f t="shared" si="95"/>
        <v>0</v>
      </c>
      <c r="GO88">
        <f t="shared" si="96"/>
        <v>0</v>
      </c>
      <c r="GP88">
        <f t="shared" si="97"/>
        <v>67202.77</v>
      </c>
      <c r="GR88">
        <v>0</v>
      </c>
      <c r="GS88">
        <v>3</v>
      </c>
      <c r="GT88">
        <v>0</v>
      </c>
      <c r="GU88" t="s">
        <v>3</v>
      </c>
      <c r="GV88">
        <f t="shared" si="98"/>
        <v>0</v>
      </c>
      <c r="GW88">
        <v>1</v>
      </c>
      <c r="GX88">
        <f t="shared" si="99"/>
        <v>0</v>
      </c>
      <c r="HA88">
        <v>0</v>
      </c>
      <c r="HB88">
        <v>0</v>
      </c>
      <c r="HC88">
        <f t="shared" si="100"/>
        <v>0</v>
      </c>
      <c r="HE88" t="s">
        <v>3</v>
      </c>
      <c r="HF88" t="s">
        <v>3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HS88">
        <v>0</v>
      </c>
      <c r="IK88">
        <v>0</v>
      </c>
    </row>
    <row r="89" spans="1:245" x14ac:dyDescent="0.25">
      <c r="A89">
        <v>18</v>
      </c>
      <c r="B89">
        <v>1</v>
      </c>
      <c r="C89">
        <v>29</v>
      </c>
      <c r="E89" t="s">
        <v>163</v>
      </c>
      <c r="F89" t="s">
        <v>37</v>
      </c>
      <c r="G89" t="s">
        <v>38</v>
      </c>
      <c r="H89" t="s">
        <v>39</v>
      </c>
      <c r="I89">
        <f>I88*J89</f>
        <v>-0.156864</v>
      </c>
      <c r="J89">
        <v>-0.19</v>
      </c>
      <c r="K89">
        <v>-0.01</v>
      </c>
      <c r="O89">
        <f t="shared" si="69"/>
        <v>-8.6</v>
      </c>
      <c r="P89">
        <f t="shared" si="70"/>
        <v>-8.6</v>
      </c>
      <c r="Q89">
        <f t="shared" si="71"/>
        <v>0</v>
      </c>
      <c r="R89">
        <f t="shared" si="72"/>
        <v>0</v>
      </c>
      <c r="S89">
        <f t="shared" si="73"/>
        <v>0</v>
      </c>
      <c r="T89">
        <f t="shared" si="74"/>
        <v>0</v>
      </c>
      <c r="U89">
        <f t="shared" si="75"/>
        <v>0</v>
      </c>
      <c r="V89">
        <f t="shared" si="76"/>
        <v>0</v>
      </c>
      <c r="W89">
        <f t="shared" si="77"/>
        <v>0</v>
      </c>
      <c r="X89">
        <f t="shared" si="78"/>
        <v>0</v>
      </c>
      <c r="Y89">
        <f t="shared" si="79"/>
        <v>0</v>
      </c>
      <c r="AA89">
        <v>80891185</v>
      </c>
      <c r="AB89">
        <f t="shared" si="80"/>
        <v>54.81</v>
      </c>
      <c r="AC89">
        <f>ROUND((ES89),6)</f>
        <v>54.81</v>
      </c>
      <c r="AD89">
        <f>ROUND((((ET89)-(EU89))+AE89),6)</f>
        <v>0</v>
      </c>
      <c r="AE89">
        <f>ROUND((EU89),6)</f>
        <v>0</v>
      </c>
      <c r="AF89">
        <f>ROUND((EV89),6)</f>
        <v>0</v>
      </c>
      <c r="AG89">
        <f t="shared" si="81"/>
        <v>0</v>
      </c>
      <c r="AH89">
        <f>(EW89)</f>
        <v>0</v>
      </c>
      <c r="AI89">
        <f>(EX89)</f>
        <v>0</v>
      </c>
      <c r="AJ89">
        <f t="shared" si="82"/>
        <v>0</v>
      </c>
      <c r="AK89">
        <v>54.81</v>
      </c>
      <c r="AL89">
        <v>54.81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70</v>
      </c>
      <c r="AU89">
        <v>10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1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4</v>
      </c>
      <c r="BJ89" t="s">
        <v>40</v>
      </c>
      <c r="BM89">
        <v>0</v>
      </c>
      <c r="BN89">
        <v>0</v>
      </c>
      <c r="BO89" t="s">
        <v>3</v>
      </c>
      <c r="BP89">
        <v>0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70</v>
      </c>
      <c r="CA89">
        <v>10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83"/>
        <v>-8.6</v>
      </c>
      <c r="CQ89">
        <f t="shared" si="84"/>
        <v>54.81</v>
      </c>
      <c r="CR89">
        <f>((((ET89)*BB89-(EU89)*BS89)+AE89*BS89)*AV89)</f>
        <v>0</v>
      </c>
      <c r="CS89">
        <f t="shared" si="85"/>
        <v>0</v>
      </c>
      <c r="CT89">
        <f t="shared" si="86"/>
        <v>0</v>
      </c>
      <c r="CU89">
        <f t="shared" si="87"/>
        <v>0</v>
      </c>
      <c r="CV89">
        <f t="shared" si="88"/>
        <v>0</v>
      </c>
      <c r="CW89">
        <f t="shared" si="89"/>
        <v>0</v>
      </c>
      <c r="CX89">
        <f t="shared" si="90"/>
        <v>0</v>
      </c>
      <c r="CY89">
        <f t="shared" si="91"/>
        <v>0</v>
      </c>
      <c r="CZ89">
        <f t="shared" si="92"/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1007</v>
      </c>
      <c r="DV89" t="s">
        <v>39</v>
      </c>
      <c r="DW89" t="s">
        <v>39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80196140</v>
      </c>
      <c r="EF89">
        <v>1</v>
      </c>
      <c r="EG89" t="s">
        <v>23</v>
      </c>
      <c r="EH89">
        <v>0</v>
      </c>
      <c r="EI89" t="s">
        <v>3</v>
      </c>
      <c r="EJ89">
        <v>4</v>
      </c>
      <c r="EK89">
        <v>0</v>
      </c>
      <c r="EL89" t="s">
        <v>24</v>
      </c>
      <c r="EM89" t="s">
        <v>25</v>
      </c>
      <c r="EO89" t="s">
        <v>3</v>
      </c>
      <c r="EQ89">
        <v>0</v>
      </c>
      <c r="ER89">
        <v>54.81</v>
      </c>
      <c r="ES89">
        <v>54.81</v>
      </c>
      <c r="ET89">
        <v>0</v>
      </c>
      <c r="EU89">
        <v>0</v>
      </c>
      <c r="EV89">
        <v>0</v>
      </c>
      <c r="EW89">
        <v>0</v>
      </c>
      <c r="EX89">
        <v>0</v>
      </c>
      <c r="FQ89">
        <v>0</v>
      </c>
      <c r="FR89">
        <v>0</v>
      </c>
      <c r="FS89">
        <v>0</v>
      </c>
      <c r="FX89">
        <v>70</v>
      </c>
      <c r="FY89">
        <v>10</v>
      </c>
      <c r="GA89" t="s">
        <v>3</v>
      </c>
      <c r="GD89">
        <v>0</v>
      </c>
      <c r="GF89">
        <v>2112060389</v>
      </c>
      <c r="GG89">
        <v>2</v>
      </c>
      <c r="GH89">
        <v>1</v>
      </c>
      <c r="GI89">
        <v>-2</v>
      </c>
      <c r="GJ89">
        <v>0</v>
      </c>
      <c r="GK89">
        <f>ROUND(R89*(R12)/100,2)</f>
        <v>0</v>
      </c>
      <c r="GL89">
        <f t="shared" si="93"/>
        <v>0</v>
      </c>
      <c r="GM89">
        <f t="shared" si="94"/>
        <v>-8.6</v>
      </c>
      <c r="GN89">
        <f t="shared" si="95"/>
        <v>0</v>
      </c>
      <c r="GO89">
        <f t="shared" si="96"/>
        <v>0</v>
      </c>
      <c r="GP89">
        <f t="shared" si="97"/>
        <v>-8.6</v>
      </c>
      <c r="GR89">
        <v>0</v>
      </c>
      <c r="GS89">
        <v>3</v>
      </c>
      <c r="GT89">
        <v>0</v>
      </c>
      <c r="GU89" t="s">
        <v>3</v>
      </c>
      <c r="GV89">
        <f t="shared" si="98"/>
        <v>0</v>
      </c>
      <c r="GW89">
        <v>1</v>
      </c>
      <c r="GX89">
        <f t="shared" si="99"/>
        <v>0</v>
      </c>
      <c r="HA89">
        <v>0</v>
      </c>
      <c r="HB89">
        <v>0</v>
      </c>
      <c r="HC89">
        <f t="shared" si="100"/>
        <v>0</v>
      </c>
      <c r="HE89" t="s">
        <v>3</v>
      </c>
      <c r="HF89" t="s">
        <v>3</v>
      </c>
      <c r="HM89" t="s">
        <v>162</v>
      </c>
      <c r="HN89" t="s">
        <v>3</v>
      </c>
      <c r="HO89" t="s">
        <v>3</v>
      </c>
      <c r="HP89" t="s">
        <v>3</v>
      </c>
      <c r="HQ89" t="s">
        <v>3</v>
      </c>
      <c r="HS89">
        <v>0</v>
      </c>
      <c r="IK89">
        <v>0</v>
      </c>
    </row>
    <row r="90" spans="1:245" x14ac:dyDescent="0.25">
      <c r="A90">
        <v>17</v>
      </c>
      <c r="B90">
        <v>1</v>
      </c>
      <c r="C90">
        <f>ROW(SmtRes!A31)</f>
        <v>31</v>
      </c>
      <c r="D90">
        <f>ROW(EtalonRes!A31)</f>
        <v>31</v>
      </c>
      <c r="E90" t="s">
        <v>164</v>
      </c>
      <c r="F90" t="s">
        <v>81</v>
      </c>
      <c r="G90" t="s">
        <v>82</v>
      </c>
      <c r="H90" t="s">
        <v>83</v>
      </c>
      <c r="I90">
        <v>0.5</v>
      </c>
      <c r="J90">
        <v>0</v>
      </c>
      <c r="K90">
        <v>0.5</v>
      </c>
      <c r="O90">
        <f t="shared" si="69"/>
        <v>127137.51</v>
      </c>
      <c r="P90">
        <f t="shared" si="70"/>
        <v>25575</v>
      </c>
      <c r="Q90">
        <f t="shared" si="71"/>
        <v>0</v>
      </c>
      <c r="R90">
        <f t="shared" si="72"/>
        <v>0</v>
      </c>
      <c r="S90">
        <f t="shared" si="73"/>
        <v>101562.51</v>
      </c>
      <c r="T90">
        <f t="shared" si="74"/>
        <v>0</v>
      </c>
      <c r="U90">
        <f t="shared" si="75"/>
        <v>224.13000000000002</v>
      </c>
      <c r="V90">
        <f t="shared" si="76"/>
        <v>0</v>
      </c>
      <c r="W90">
        <f t="shared" si="77"/>
        <v>0</v>
      </c>
      <c r="X90">
        <f t="shared" si="78"/>
        <v>71093.759999999995</v>
      </c>
      <c r="Y90">
        <f t="shared" si="79"/>
        <v>10156.25</v>
      </c>
      <c r="AA90">
        <v>80891185</v>
      </c>
      <c r="AB90">
        <f t="shared" si="80"/>
        <v>254275.02</v>
      </c>
      <c r="AC90">
        <f>ROUND(((ES90*186)),6)</f>
        <v>51150</v>
      </c>
      <c r="AD90">
        <f>ROUND(((((ET90*186))-((EU90*186)))+AE90),6)</f>
        <v>0</v>
      </c>
      <c r="AE90">
        <f>ROUND(((EU90*186)),6)</f>
        <v>0</v>
      </c>
      <c r="AF90">
        <f>ROUND(((EV90*186)),6)</f>
        <v>203125.02</v>
      </c>
      <c r="AG90">
        <f t="shared" si="81"/>
        <v>0</v>
      </c>
      <c r="AH90">
        <f>((EW90*186))</f>
        <v>448.26000000000005</v>
      </c>
      <c r="AI90">
        <f>((EX90*186))</f>
        <v>0</v>
      </c>
      <c r="AJ90">
        <f t="shared" si="82"/>
        <v>0</v>
      </c>
      <c r="AK90">
        <v>1367.07</v>
      </c>
      <c r="AL90">
        <v>275</v>
      </c>
      <c r="AM90">
        <v>0</v>
      </c>
      <c r="AN90">
        <v>0</v>
      </c>
      <c r="AO90">
        <v>1092.07</v>
      </c>
      <c r="AP90">
        <v>0</v>
      </c>
      <c r="AQ90">
        <v>2.41</v>
      </c>
      <c r="AR90">
        <v>0</v>
      </c>
      <c r="AS90">
        <v>0</v>
      </c>
      <c r="AT90">
        <v>70</v>
      </c>
      <c r="AU90">
        <v>10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1</v>
      </c>
      <c r="BD90" t="s">
        <v>3</v>
      </c>
      <c r="BE90" t="s">
        <v>3</v>
      </c>
      <c r="BF90" t="s">
        <v>3</v>
      </c>
      <c r="BG90" t="s">
        <v>3</v>
      </c>
      <c r="BH90">
        <v>0</v>
      </c>
      <c r="BI90">
        <v>4</v>
      </c>
      <c r="BJ90" t="s">
        <v>84</v>
      </c>
      <c r="BM90">
        <v>0</v>
      </c>
      <c r="BN90">
        <v>0</v>
      </c>
      <c r="BO90" t="s">
        <v>3</v>
      </c>
      <c r="BP90">
        <v>0</v>
      </c>
      <c r="BQ90">
        <v>1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70</v>
      </c>
      <c r="CA90">
        <v>10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83"/>
        <v>127137.51</v>
      </c>
      <c r="CQ90">
        <f t="shared" si="84"/>
        <v>51150</v>
      </c>
      <c r="CR90">
        <f>(((((ET90*186))*BB90-((EU90*186))*BS90)+AE90*BS90)*AV90)</f>
        <v>0</v>
      </c>
      <c r="CS90">
        <f t="shared" si="85"/>
        <v>0</v>
      </c>
      <c r="CT90">
        <f t="shared" si="86"/>
        <v>203125.02</v>
      </c>
      <c r="CU90">
        <f t="shared" si="87"/>
        <v>0</v>
      </c>
      <c r="CV90">
        <f t="shared" si="88"/>
        <v>448.26000000000005</v>
      </c>
      <c r="CW90">
        <f t="shared" si="89"/>
        <v>0</v>
      </c>
      <c r="CX90">
        <f t="shared" si="90"/>
        <v>0</v>
      </c>
      <c r="CY90">
        <f t="shared" si="91"/>
        <v>71093.756999999998</v>
      </c>
      <c r="CZ90">
        <f t="shared" si="92"/>
        <v>10156.251</v>
      </c>
      <c r="DC90" t="s">
        <v>3</v>
      </c>
      <c r="DD90" t="s">
        <v>165</v>
      </c>
      <c r="DE90" t="s">
        <v>165</v>
      </c>
      <c r="DF90" t="s">
        <v>165</v>
      </c>
      <c r="DG90" t="s">
        <v>165</v>
      </c>
      <c r="DH90" t="s">
        <v>3</v>
      </c>
      <c r="DI90" t="s">
        <v>165</v>
      </c>
      <c r="DJ90" t="s">
        <v>165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1010</v>
      </c>
      <c r="DV90" t="s">
        <v>83</v>
      </c>
      <c r="DW90" t="s">
        <v>83</v>
      </c>
      <c r="DX90">
        <v>100</v>
      </c>
      <c r="DZ90" t="s">
        <v>3</v>
      </c>
      <c r="EA90" t="s">
        <v>3</v>
      </c>
      <c r="EB90" t="s">
        <v>3</v>
      </c>
      <c r="EC90" t="s">
        <v>3</v>
      </c>
      <c r="EE90">
        <v>80196140</v>
      </c>
      <c r="EF90">
        <v>1</v>
      </c>
      <c r="EG90" t="s">
        <v>23</v>
      </c>
      <c r="EH90">
        <v>0</v>
      </c>
      <c r="EI90" t="s">
        <v>3</v>
      </c>
      <c r="EJ90">
        <v>4</v>
      </c>
      <c r="EK90">
        <v>0</v>
      </c>
      <c r="EL90" t="s">
        <v>24</v>
      </c>
      <c r="EM90" t="s">
        <v>25</v>
      </c>
      <c r="EO90" t="s">
        <v>3</v>
      </c>
      <c r="EQ90">
        <v>0</v>
      </c>
      <c r="ER90">
        <v>1367.07</v>
      </c>
      <c r="ES90">
        <v>275</v>
      </c>
      <c r="ET90">
        <v>0</v>
      </c>
      <c r="EU90">
        <v>0</v>
      </c>
      <c r="EV90">
        <v>1092.07</v>
      </c>
      <c r="EW90">
        <v>2.41</v>
      </c>
      <c r="EX90">
        <v>0</v>
      </c>
      <c r="EY90">
        <v>0</v>
      </c>
      <c r="FQ90">
        <v>0</v>
      </c>
      <c r="FR90">
        <v>0</v>
      </c>
      <c r="FS90">
        <v>0</v>
      </c>
      <c r="FX90">
        <v>70</v>
      </c>
      <c r="FY90">
        <v>10</v>
      </c>
      <c r="GA90" t="s">
        <v>3</v>
      </c>
      <c r="GD90">
        <v>0</v>
      </c>
      <c r="GF90">
        <v>1968377727</v>
      </c>
      <c r="GG90">
        <v>2</v>
      </c>
      <c r="GH90">
        <v>1</v>
      </c>
      <c r="GI90">
        <v>-2</v>
      </c>
      <c r="GJ90">
        <v>0</v>
      </c>
      <c r="GK90">
        <f>ROUND(R90*(R12)/100,2)</f>
        <v>0</v>
      </c>
      <c r="GL90">
        <f t="shared" si="93"/>
        <v>0</v>
      </c>
      <c r="GM90">
        <f t="shared" si="94"/>
        <v>208387.52</v>
      </c>
      <c r="GN90">
        <f t="shared" si="95"/>
        <v>0</v>
      </c>
      <c r="GO90">
        <f t="shared" si="96"/>
        <v>0</v>
      </c>
      <c r="GP90">
        <f t="shared" si="97"/>
        <v>208387.52</v>
      </c>
      <c r="GR90">
        <v>0</v>
      </c>
      <c r="GS90">
        <v>3</v>
      </c>
      <c r="GT90">
        <v>0</v>
      </c>
      <c r="GU90" t="s">
        <v>3</v>
      </c>
      <c r="GV90">
        <f t="shared" si="98"/>
        <v>0</v>
      </c>
      <c r="GW90">
        <v>1</v>
      </c>
      <c r="GX90">
        <f t="shared" si="99"/>
        <v>0</v>
      </c>
      <c r="HA90">
        <v>0</v>
      </c>
      <c r="HB90">
        <v>0</v>
      </c>
      <c r="HC90">
        <f t="shared" si="100"/>
        <v>0</v>
      </c>
      <c r="HE90" t="s">
        <v>3</v>
      </c>
      <c r="HF90" t="s">
        <v>3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HS90">
        <v>0</v>
      </c>
      <c r="IK90">
        <v>0</v>
      </c>
    </row>
    <row r="91" spans="1:245" x14ac:dyDescent="0.25">
      <c r="A91">
        <v>17</v>
      </c>
      <c r="B91">
        <v>1</v>
      </c>
      <c r="C91">
        <f>ROW(SmtRes!A35)</f>
        <v>35</v>
      </c>
      <c r="D91">
        <f>ROW(EtalonRes!A35)</f>
        <v>35</v>
      </c>
      <c r="E91" t="s">
        <v>166</v>
      </c>
      <c r="F91" t="s">
        <v>167</v>
      </c>
      <c r="G91" t="s">
        <v>168</v>
      </c>
      <c r="H91" t="s">
        <v>83</v>
      </c>
      <c r="I91">
        <v>0.5</v>
      </c>
      <c r="J91">
        <v>0</v>
      </c>
      <c r="K91">
        <v>0.5</v>
      </c>
      <c r="O91">
        <f t="shared" si="69"/>
        <v>74524</v>
      </c>
      <c r="P91">
        <f t="shared" si="70"/>
        <v>36969.99</v>
      </c>
      <c r="Q91">
        <f t="shared" si="71"/>
        <v>0</v>
      </c>
      <c r="R91">
        <f t="shared" si="72"/>
        <v>0</v>
      </c>
      <c r="S91">
        <f t="shared" si="73"/>
        <v>37554.01</v>
      </c>
      <c r="T91">
        <f t="shared" si="74"/>
        <v>0</v>
      </c>
      <c r="U91">
        <f t="shared" si="75"/>
        <v>82.875</v>
      </c>
      <c r="V91">
        <f t="shared" si="76"/>
        <v>0</v>
      </c>
      <c r="W91">
        <f t="shared" si="77"/>
        <v>0</v>
      </c>
      <c r="X91">
        <f t="shared" si="78"/>
        <v>26287.81</v>
      </c>
      <c r="Y91">
        <f t="shared" si="79"/>
        <v>3755.4</v>
      </c>
      <c r="AA91">
        <v>80891185</v>
      </c>
      <c r="AB91">
        <f t="shared" si="80"/>
        <v>149047.99</v>
      </c>
      <c r="AC91">
        <f>ROUND(((ES91*13)),6)</f>
        <v>73939.97</v>
      </c>
      <c r="AD91">
        <f>ROUND(((((ET91*13))-((EU91*13)))+AE91),6)</f>
        <v>0</v>
      </c>
      <c r="AE91">
        <f>ROUND(((EU91*13)),6)</f>
        <v>0</v>
      </c>
      <c r="AF91">
        <f>ROUND(((EV91*13)),6)</f>
        <v>75108.02</v>
      </c>
      <c r="AG91">
        <f t="shared" si="81"/>
        <v>0</v>
      </c>
      <c r="AH91">
        <f>((EW91*13))</f>
        <v>165.75</v>
      </c>
      <c r="AI91">
        <f>((EX91*13))</f>
        <v>0</v>
      </c>
      <c r="AJ91">
        <f t="shared" si="82"/>
        <v>0</v>
      </c>
      <c r="AK91">
        <v>11465.23</v>
      </c>
      <c r="AL91">
        <v>5687.69</v>
      </c>
      <c r="AM91">
        <v>0</v>
      </c>
      <c r="AN91">
        <v>0</v>
      </c>
      <c r="AO91">
        <v>5777.54</v>
      </c>
      <c r="AP91">
        <v>0</v>
      </c>
      <c r="AQ91">
        <v>12.75</v>
      </c>
      <c r="AR91">
        <v>0</v>
      </c>
      <c r="AS91">
        <v>0</v>
      </c>
      <c r="AT91">
        <v>70</v>
      </c>
      <c r="AU91">
        <v>10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4</v>
      </c>
      <c r="BJ91" t="s">
        <v>169</v>
      </c>
      <c r="BM91">
        <v>0</v>
      </c>
      <c r="BN91">
        <v>0</v>
      </c>
      <c r="BO91" t="s">
        <v>3</v>
      </c>
      <c r="BP91">
        <v>0</v>
      </c>
      <c r="BQ91">
        <v>1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70</v>
      </c>
      <c r="CA91">
        <v>10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83"/>
        <v>74524</v>
      </c>
      <c r="CQ91">
        <f t="shared" si="84"/>
        <v>73939.97</v>
      </c>
      <c r="CR91">
        <f>(((((ET91*13))*BB91-((EU91*13))*BS91)+AE91*BS91)*AV91)</f>
        <v>0</v>
      </c>
      <c r="CS91">
        <f t="shared" si="85"/>
        <v>0</v>
      </c>
      <c r="CT91">
        <f t="shared" si="86"/>
        <v>75108.02</v>
      </c>
      <c r="CU91">
        <f t="shared" si="87"/>
        <v>0</v>
      </c>
      <c r="CV91">
        <f t="shared" si="88"/>
        <v>165.75</v>
      </c>
      <c r="CW91">
        <f t="shared" si="89"/>
        <v>0</v>
      </c>
      <c r="CX91">
        <f t="shared" si="90"/>
        <v>0</v>
      </c>
      <c r="CY91">
        <f t="shared" si="91"/>
        <v>26287.807000000001</v>
      </c>
      <c r="CZ91">
        <f t="shared" si="92"/>
        <v>3755.4010000000003</v>
      </c>
      <c r="DC91" t="s">
        <v>3</v>
      </c>
      <c r="DD91" t="s">
        <v>170</v>
      </c>
      <c r="DE91" t="s">
        <v>170</v>
      </c>
      <c r="DF91" t="s">
        <v>170</v>
      </c>
      <c r="DG91" t="s">
        <v>170</v>
      </c>
      <c r="DH91" t="s">
        <v>3</v>
      </c>
      <c r="DI91" t="s">
        <v>170</v>
      </c>
      <c r="DJ91" t="s">
        <v>170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1010</v>
      </c>
      <c r="DV91" t="s">
        <v>83</v>
      </c>
      <c r="DW91" t="s">
        <v>83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80196140</v>
      </c>
      <c r="EF91">
        <v>1</v>
      </c>
      <c r="EG91" t="s">
        <v>23</v>
      </c>
      <c r="EH91">
        <v>0</v>
      </c>
      <c r="EI91" t="s">
        <v>3</v>
      </c>
      <c r="EJ91">
        <v>4</v>
      </c>
      <c r="EK91">
        <v>0</v>
      </c>
      <c r="EL91" t="s">
        <v>24</v>
      </c>
      <c r="EM91" t="s">
        <v>25</v>
      </c>
      <c r="EO91" t="s">
        <v>3</v>
      </c>
      <c r="EQ91">
        <v>0</v>
      </c>
      <c r="ER91">
        <v>11465.23</v>
      </c>
      <c r="ES91">
        <v>5687.69</v>
      </c>
      <c r="ET91">
        <v>0</v>
      </c>
      <c r="EU91">
        <v>0</v>
      </c>
      <c r="EV91">
        <v>5777.54</v>
      </c>
      <c r="EW91">
        <v>12.75</v>
      </c>
      <c r="EX91">
        <v>0</v>
      </c>
      <c r="EY91">
        <v>0</v>
      </c>
      <c r="FQ91">
        <v>0</v>
      </c>
      <c r="FR91">
        <v>0</v>
      </c>
      <c r="FS91">
        <v>0</v>
      </c>
      <c r="FX91">
        <v>70</v>
      </c>
      <c r="FY91">
        <v>10</v>
      </c>
      <c r="GA91" t="s">
        <v>3</v>
      </c>
      <c r="GD91">
        <v>0</v>
      </c>
      <c r="GF91">
        <v>-451448609</v>
      </c>
      <c r="GG91">
        <v>2</v>
      </c>
      <c r="GH91">
        <v>1</v>
      </c>
      <c r="GI91">
        <v>-2</v>
      </c>
      <c r="GJ91">
        <v>0</v>
      </c>
      <c r="GK91">
        <f>ROUND(R91*(R12)/100,2)</f>
        <v>0</v>
      </c>
      <c r="GL91">
        <f t="shared" si="93"/>
        <v>0</v>
      </c>
      <c r="GM91">
        <f t="shared" si="94"/>
        <v>104567.21</v>
      </c>
      <c r="GN91">
        <f t="shared" si="95"/>
        <v>0</v>
      </c>
      <c r="GO91">
        <f t="shared" si="96"/>
        <v>0</v>
      </c>
      <c r="GP91">
        <f t="shared" si="97"/>
        <v>104567.21</v>
      </c>
      <c r="GR91">
        <v>0</v>
      </c>
      <c r="GS91">
        <v>3</v>
      </c>
      <c r="GT91">
        <v>0</v>
      </c>
      <c r="GU91" t="s">
        <v>3</v>
      </c>
      <c r="GV91">
        <f t="shared" si="98"/>
        <v>0</v>
      </c>
      <c r="GW91">
        <v>1</v>
      </c>
      <c r="GX91">
        <f t="shared" si="99"/>
        <v>0</v>
      </c>
      <c r="HA91">
        <v>0</v>
      </c>
      <c r="HB91">
        <v>0</v>
      </c>
      <c r="HC91">
        <f t="shared" si="100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HS91">
        <v>0</v>
      </c>
      <c r="IK91">
        <v>0</v>
      </c>
    </row>
    <row r="92" spans="1:245" x14ac:dyDescent="0.25">
      <c r="A92">
        <v>17</v>
      </c>
      <c r="B92">
        <v>1</v>
      </c>
      <c r="C92">
        <f>ROW(SmtRes!A36)</f>
        <v>36</v>
      </c>
      <c r="D92">
        <f>ROW(EtalonRes!A36)</f>
        <v>36</v>
      </c>
      <c r="E92" t="s">
        <v>171</v>
      </c>
      <c r="F92" t="s">
        <v>172</v>
      </c>
      <c r="G92" t="s">
        <v>173</v>
      </c>
      <c r="H92" t="s">
        <v>174</v>
      </c>
      <c r="I92">
        <v>3</v>
      </c>
      <c r="J92">
        <v>0</v>
      </c>
      <c r="K92">
        <v>3</v>
      </c>
      <c r="O92">
        <f t="shared" si="69"/>
        <v>81156.179999999993</v>
      </c>
      <c r="P92">
        <f t="shared" si="70"/>
        <v>0</v>
      </c>
      <c r="Q92">
        <f t="shared" si="71"/>
        <v>0</v>
      </c>
      <c r="R92">
        <f t="shared" si="72"/>
        <v>0</v>
      </c>
      <c r="S92">
        <f t="shared" si="73"/>
        <v>81156.179999999993</v>
      </c>
      <c r="T92">
        <f t="shared" si="74"/>
        <v>0</v>
      </c>
      <c r="U92">
        <f t="shared" si="75"/>
        <v>179.1</v>
      </c>
      <c r="V92">
        <f t="shared" si="76"/>
        <v>0</v>
      </c>
      <c r="W92">
        <f t="shared" si="77"/>
        <v>0</v>
      </c>
      <c r="X92">
        <f t="shared" si="78"/>
        <v>56809.33</v>
      </c>
      <c r="Y92">
        <f t="shared" si="79"/>
        <v>8115.62</v>
      </c>
      <c r="AA92">
        <v>80891185</v>
      </c>
      <c r="AB92">
        <f t="shared" si="80"/>
        <v>27052.06</v>
      </c>
      <c r="AC92">
        <f>ROUND(((ES92*199)),6)</f>
        <v>0</v>
      </c>
      <c r="AD92">
        <f>ROUND(((((ET92*199))-((EU92*199)))+AE92),6)</f>
        <v>0</v>
      </c>
      <c r="AE92">
        <f>ROUND(((EU92*199)),6)</f>
        <v>0</v>
      </c>
      <c r="AF92">
        <f>ROUND(((EV92*199)),6)</f>
        <v>27052.06</v>
      </c>
      <c r="AG92">
        <f t="shared" si="81"/>
        <v>0</v>
      </c>
      <c r="AH92">
        <f>((EW92*199))</f>
        <v>59.699999999999996</v>
      </c>
      <c r="AI92">
        <f>((EX92*199))</f>
        <v>0</v>
      </c>
      <c r="AJ92">
        <f t="shared" si="82"/>
        <v>0</v>
      </c>
      <c r="AK92">
        <v>135.94</v>
      </c>
      <c r="AL92">
        <v>0</v>
      </c>
      <c r="AM92">
        <v>0</v>
      </c>
      <c r="AN92">
        <v>0</v>
      </c>
      <c r="AO92">
        <v>135.94</v>
      </c>
      <c r="AP92">
        <v>0</v>
      </c>
      <c r="AQ92">
        <v>0.3</v>
      </c>
      <c r="AR92">
        <v>0</v>
      </c>
      <c r="AS92">
        <v>0</v>
      </c>
      <c r="AT92">
        <v>70</v>
      </c>
      <c r="AU92">
        <v>10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1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4</v>
      </c>
      <c r="BJ92" t="s">
        <v>175</v>
      </c>
      <c r="BM92">
        <v>0</v>
      </c>
      <c r="BN92">
        <v>0</v>
      </c>
      <c r="BO92" t="s">
        <v>3</v>
      </c>
      <c r="BP92">
        <v>0</v>
      </c>
      <c r="BQ92">
        <v>1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70</v>
      </c>
      <c r="CA92">
        <v>10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83"/>
        <v>81156.179999999993</v>
      </c>
      <c r="CQ92">
        <f t="shared" si="84"/>
        <v>0</v>
      </c>
      <c r="CR92">
        <f>(((((ET92*199))*BB92-((EU92*199))*BS92)+AE92*BS92)*AV92)</f>
        <v>0</v>
      </c>
      <c r="CS92">
        <f t="shared" si="85"/>
        <v>0</v>
      </c>
      <c r="CT92">
        <f t="shared" si="86"/>
        <v>27052.06</v>
      </c>
      <c r="CU92">
        <f t="shared" si="87"/>
        <v>0</v>
      </c>
      <c r="CV92">
        <f t="shared" si="88"/>
        <v>59.699999999999996</v>
      </c>
      <c r="CW92">
        <f t="shared" si="89"/>
        <v>0</v>
      </c>
      <c r="CX92">
        <f t="shared" si="90"/>
        <v>0</v>
      </c>
      <c r="CY92">
        <f t="shared" si="91"/>
        <v>56809.325999999994</v>
      </c>
      <c r="CZ92">
        <f t="shared" si="92"/>
        <v>8115.6179999999995</v>
      </c>
      <c r="DC92" t="s">
        <v>3</v>
      </c>
      <c r="DD92" t="s">
        <v>176</v>
      </c>
      <c r="DE92" t="s">
        <v>176</v>
      </c>
      <c r="DF92" t="s">
        <v>176</v>
      </c>
      <c r="DG92" t="s">
        <v>176</v>
      </c>
      <c r="DH92" t="s">
        <v>3</v>
      </c>
      <c r="DI92" t="s">
        <v>176</v>
      </c>
      <c r="DJ92" t="s">
        <v>176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1005</v>
      </c>
      <c r="DV92" t="s">
        <v>174</v>
      </c>
      <c r="DW92" t="s">
        <v>174</v>
      </c>
      <c r="DX92">
        <v>10</v>
      </c>
      <c r="DZ92" t="s">
        <v>3</v>
      </c>
      <c r="EA92" t="s">
        <v>3</v>
      </c>
      <c r="EB92" t="s">
        <v>3</v>
      </c>
      <c r="EC92" t="s">
        <v>3</v>
      </c>
      <c r="EE92">
        <v>80196140</v>
      </c>
      <c r="EF92">
        <v>1</v>
      </c>
      <c r="EG92" t="s">
        <v>23</v>
      </c>
      <c r="EH92">
        <v>0</v>
      </c>
      <c r="EI92" t="s">
        <v>3</v>
      </c>
      <c r="EJ92">
        <v>4</v>
      </c>
      <c r="EK92">
        <v>0</v>
      </c>
      <c r="EL92" t="s">
        <v>24</v>
      </c>
      <c r="EM92" t="s">
        <v>25</v>
      </c>
      <c r="EO92" t="s">
        <v>3</v>
      </c>
      <c r="EQ92">
        <v>0</v>
      </c>
      <c r="ER92">
        <v>135.94</v>
      </c>
      <c r="ES92">
        <v>0</v>
      </c>
      <c r="ET92">
        <v>0</v>
      </c>
      <c r="EU92">
        <v>0</v>
      </c>
      <c r="EV92">
        <v>135.94</v>
      </c>
      <c r="EW92">
        <v>0.3</v>
      </c>
      <c r="EX92">
        <v>0</v>
      </c>
      <c r="EY92">
        <v>0</v>
      </c>
      <c r="FQ92">
        <v>0</v>
      </c>
      <c r="FR92">
        <v>0</v>
      </c>
      <c r="FS92">
        <v>0</v>
      </c>
      <c r="FX92">
        <v>70</v>
      </c>
      <c r="FY92">
        <v>10</v>
      </c>
      <c r="GA92" t="s">
        <v>3</v>
      </c>
      <c r="GD92">
        <v>0</v>
      </c>
      <c r="GF92">
        <v>-424361502</v>
      </c>
      <c r="GG92">
        <v>2</v>
      </c>
      <c r="GH92">
        <v>1</v>
      </c>
      <c r="GI92">
        <v>-2</v>
      </c>
      <c r="GJ92">
        <v>0</v>
      </c>
      <c r="GK92">
        <f>ROUND(R92*(R12)/100,2)</f>
        <v>0</v>
      </c>
      <c r="GL92">
        <f t="shared" si="93"/>
        <v>0</v>
      </c>
      <c r="GM92">
        <f t="shared" si="94"/>
        <v>146081.13</v>
      </c>
      <c r="GN92">
        <f t="shared" si="95"/>
        <v>0</v>
      </c>
      <c r="GO92">
        <f t="shared" si="96"/>
        <v>0</v>
      </c>
      <c r="GP92">
        <f t="shared" si="97"/>
        <v>146081.13</v>
      </c>
      <c r="GR92">
        <v>0</v>
      </c>
      <c r="GS92">
        <v>3</v>
      </c>
      <c r="GT92">
        <v>0</v>
      </c>
      <c r="GU92" t="s">
        <v>3</v>
      </c>
      <c r="GV92">
        <f t="shared" si="98"/>
        <v>0</v>
      </c>
      <c r="GW92">
        <v>1</v>
      </c>
      <c r="GX92">
        <f t="shared" si="99"/>
        <v>0</v>
      </c>
      <c r="HA92">
        <v>0</v>
      </c>
      <c r="HB92">
        <v>0</v>
      </c>
      <c r="HC92">
        <f t="shared" si="100"/>
        <v>0</v>
      </c>
      <c r="HE92" t="s">
        <v>3</v>
      </c>
      <c r="HF92" t="s">
        <v>3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HS92">
        <v>0</v>
      </c>
      <c r="IK92">
        <v>0</v>
      </c>
    </row>
    <row r="93" spans="1:245" x14ac:dyDescent="0.25">
      <c r="A93">
        <v>17</v>
      </c>
      <c r="B93">
        <v>1</v>
      </c>
      <c r="C93">
        <f>ROW(SmtRes!A40)</f>
        <v>40</v>
      </c>
      <c r="D93">
        <f>ROW(EtalonRes!A40)</f>
        <v>40</v>
      </c>
      <c r="E93" t="s">
        <v>177</v>
      </c>
      <c r="F93" t="s">
        <v>178</v>
      </c>
      <c r="G93" t="s">
        <v>179</v>
      </c>
      <c r="H93" t="s">
        <v>29</v>
      </c>
      <c r="I93">
        <f>ROUND(2608.8/100,9)</f>
        <v>26.088000000000001</v>
      </c>
      <c r="J93">
        <v>0</v>
      </c>
      <c r="K93">
        <f>ROUND(2608.8/100,9)</f>
        <v>26.088000000000001</v>
      </c>
      <c r="O93">
        <f t="shared" si="69"/>
        <v>183758.66</v>
      </c>
      <c r="P93">
        <f t="shared" si="70"/>
        <v>2287.92</v>
      </c>
      <c r="Q93">
        <f t="shared" si="71"/>
        <v>151680.32999999999</v>
      </c>
      <c r="R93">
        <f t="shared" si="72"/>
        <v>66470.66</v>
      </c>
      <c r="S93">
        <f t="shared" si="73"/>
        <v>29790.41</v>
      </c>
      <c r="T93">
        <f t="shared" si="74"/>
        <v>0</v>
      </c>
      <c r="U93">
        <f t="shared" si="75"/>
        <v>65.741759999999999</v>
      </c>
      <c r="V93">
        <f t="shared" si="76"/>
        <v>0</v>
      </c>
      <c r="W93">
        <f t="shared" si="77"/>
        <v>0</v>
      </c>
      <c r="X93">
        <f t="shared" si="78"/>
        <v>20853.29</v>
      </c>
      <c r="Y93">
        <f t="shared" si="79"/>
        <v>2979.04</v>
      </c>
      <c r="AA93">
        <v>80891185</v>
      </c>
      <c r="AB93">
        <f t="shared" si="80"/>
        <v>7043.8</v>
      </c>
      <c r="AC93">
        <f>ROUND(((ES93*2)),6)</f>
        <v>87.7</v>
      </c>
      <c r="AD93">
        <f>ROUND(((((ET93*2))-((EU93*2)))+AE93),6)</f>
        <v>5814.18</v>
      </c>
      <c r="AE93">
        <f>ROUND(((EU93*2)),6)</f>
        <v>2547.94</v>
      </c>
      <c r="AF93">
        <f>ROUND(((EV93*2)),6)</f>
        <v>1141.92</v>
      </c>
      <c r="AG93">
        <f t="shared" si="81"/>
        <v>0</v>
      </c>
      <c r="AH93">
        <f>((EW93*2))</f>
        <v>2.52</v>
      </c>
      <c r="AI93">
        <f>((EX93*2))</f>
        <v>0</v>
      </c>
      <c r="AJ93">
        <f t="shared" si="82"/>
        <v>0</v>
      </c>
      <c r="AK93">
        <v>3521.9</v>
      </c>
      <c r="AL93">
        <v>43.85</v>
      </c>
      <c r="AM93">
        <v>2907.09</v>
      </c>
      <c r="AN93">
        <v>1273.97</v>
      </c>
      <c r="AO93">
        <v>570.96</v>
      </c>
      <c r="AP93">
        <v>0</v>
      </c>
      <c r="AQ93">
        <v>1.26</v>
      </c>
      <c r="AR93">
        <v>0</v>
      </c>
      <c r="AS93">
        <v>0</v>
      </c>
      <c r="AT93">
        <v>70</v>
      </c>
      <c r="AU93">
        <v>10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1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4</v>
      </c>
      <c r="BJ93" t="s">
        <v>180</v>
      </c>
      <c r="BM93">
        <v>0</v>
      </c>
      <c r="BN93">
        <v>0</v>
      </c>
      <c r="BO93" t="s">
        <v>3</v>
      </c>
      <c r="BP93">
        <v>0</v>
      </c>
      <c r="BQ93">
        <v>1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70</v>
      </c>
      <c r="CA93">
        <v>10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83"/>
        <v>183758.66</v>
      </c>
      <c r="CQ93">
        <f t="shared" si="84"/>
        <v>87.7</v>
      </c>
      <c r="CR93">
        <f>(((((ET93*2))*BB93-((EU93*2))*BS93)+AE93*BS93)*AV93)</f>
        <v>5814.18</v>
      </c>
      <c r="CS93">
        <f t="shared" si="85"/>
        <v>2547.94</v>
      </c>
      <c r="CT93">
        <f t="shared" si="86"/>
        <v>1141.92</v>
      </c>
      <c r="CU93">
        <f t="shared" si="87"/>
        <v>0</v>
      </c>
      <c r="CV93">
        <f t="shared" si="88"/>
        <v>2.52</v>
      </c>
      <c r="CW93">
        <f t="shared" si="89"/>
        <v>0</v>
      </c>
      <c r="CX93">
        <f t="shared" si="90"/>
        <v>0</v>
      </c>
      <c r="CY93">
        <f t="shared" si="91"/>
        <v>20853.287</v>
      </c>
      <c r="CZ93">
        <f t="shared" si="92"/>
        <v>2979.0409999999997</v>
      </c>
      <c r="DC93" t="s">
        <v>3</v>
      </c>
      <c r="DD93" t="s">
        <v>181</v>
      </c>
      <c r="DE93" t="s">
        <v>181</v>
      </c>
      <c r="DF93" t="s">
        <v>181</v>
      </c>
      <c r="DG93" t="s">
        <v>181</v>
      </c>
      <c r="DH93" t="s">
        <v>3</v>
      </c>
      <c r="DI93" t="s">
        <v>181</v>
      </c>
      <c r="DJ93" t="s">
        <v>181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1005</v>
      </c>
      <c r="DV93" t="s">
        <v>29</v>
      </c>
      <c r="DW93" t="s">
        <v>29</v>
      </c>
      <c r="DX93">
        <v>100</v>
      </c>
      <c r="DZ93" t="s">
        <v>3</v>
      </c>
      <c r="EA93" t="s">
        <v>3</v>
      </c>
      <c r="EB93" t="s">
        <v>3</v>
      </c>
      <c r="EC93" t="s">
        <v>3</v>
      </c>
      <c r="EE93">
        <v>80196140</v>
      </c>
      <c r="EF93">
        <v>1</v>
      </c>
      <c r="EG93" t="s">
        <v>23</v>
      </c>
      <c r="EH93">
        <v>0</v>
      </c>
      <c r="EI93" t="s">
        <v>3</v>
      </c>
      <c r="EJ93">
        <v>4</v>
      </c>
      <c r="EK93">
        <v>0</v>
      </c>
      <c r="EL93" t="s">
        <v>24</v>
      </c>
      <c r="EM93" t="s">
        <v>25</v>
      </c>
      <c r="EO93" t="s">
        <v>3</v>
      </c>
      <c r="EQ93">
        <v>0</v>
      </c>
      <c r="ER93">
        <v>3521.9</v>
      </c>
      <c r="ES93">
        <v>43.85</v>
      </c>
      <c r="ET93">
        <v>2907.09</v>
      </c>
      <c r="EU93">
        <v>1273.97</v>
      </c>
      <c r="EV93">
        <v>570.96</v>
      </c>
      <c r="EW93">
        <v>1.26</v>
      </c>
      <c r="EX93">
        <v>0</v>
      </c>
      <c r="EY93">
        <v>0</v>
      </c>
      <c r="FQ93">
        <v>0</v>
      </c>
      <c r="FR93">
        <v>0</v>
      </c>
      <c r="FS93">
        <v>0</v>
      </c>
      <c r="FX93">
        <v>70</v>
      </c>
      <c r="FY93">
        <v>10</v>
      </c>
      <c r="GA93" t="s">
        <v>3</v>
      </c>
      <c r="GD93">
        <v>0</v>
      </c>
      <c r="GF93">
        <v>-1951882536</v>
      </c>
      <c r="GG93">
        <v>2</v>
      </c>
      <c r="GH93">
        <v>1</v>
      </c>
      <c r="GI93">
        <v>-2</v>
      </c>
      <c r="GJ93">
        <v>0</v>
      </c>
      <c r="GK93">
        <f>ROUND(R93*(R12)/100,2)</f>
        <v>71788.31</v>
      </c>
      <c r="GL93">
        <f t="shared" si="93"/>
        <v>0</v>
      </c>
      <c r="GM93">
        <f t="shared" si="94"/>
        <v>279379.3</v>
      </c>
      <c r="GN93">
        <f t="shared" si="95"/>
        <v>0</v>
      </c>
      <c r="GO93">
        <f t="shared" si="96"/>
        <v>0</v>
      </c>
      <c r="GP93">
        <f t="shared" si="97"/>
        <v>279379.3</v>
      </c>
      <c r="GR93">
        <v>0</v>
      </c>
      <c r="GS93">
        <v>3</v>
      </c>
      <c r="GT93">
        <v>0</v>
      </c>
      <c r="GU93" t="s">
        <v>3</v>
      </c>
      <c r="GV93">
        <f t="shared" si="98"/>
        <v>0</v>
      </c>
      <c r="GW93">
        <v>1</v>
      </c>
      <c r="GX93">
        <f t="shared" si="99"/>
        <v>0</v>
      </c>
      <c r="HA93">
        <v>0</v>
      </c>
      <c r="HB93">
        <v>0</v>
      </c>
      <c r="HC93">
        <f t="shared" si="100"/>
        <v>0</v>
      </c>
      <c r="HE93" t="s">
        <v>3</v>
      </c>
      <c r="HF93" t="s">
        <v>3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HS93">
        <v>0</v>
      </c>
      <c r="IK93">
        <v>0</v>
      </c>
    </row>
    <row r="94" spans="1:245" x14ac:dyDescent="0.25">
      <c r="A94">
        <v>18</v>
      </c>
      <c r="B94">
        <v>1</v>
      </c>
      <c r="C94">
        <v>40</v>
      </c>
      <c r="E94" t="s">
        <v>182</v>
      </c>
      <c r="F94" t="s">
        <v>37</v>
      </c>
      <c r="G94" t="s">
        <v>38</v>
      </c>
      <c r="H94" t="s">
        <v>39</v>
      </c>
      <c r="I94">
        <f>I93*J94</f>
        <v>-41.7408</v>
      </c>
      <c r="J94">
        <v>-1.5999999999999999</v>
      </c>
      <c r="K94">
        <v>-0.8</v>
      </c>
      <c r="O94">
        <f t="shared" si="69"/>
        <v>-2287.81</v>
      </c>
      <c r="P94">
        <f t="shared" si="70"/>
        <v>-2287.81</v>
      </c>
      <c r="Q94">
        <f t="shared" si="71"/>
        <v>0</v>
      </c>
      <c r="R94">
        <f t="shared" si="72"/>
        <v>0</v>
      </c>
      <c r="S94">
        <f t="shared" si="73"/>
        <v>0</v>
      </c>
      <c r="T94">
        <f t="shared" si="74"/>
        <v>0</v>
      </c>
      <c r="U94">
        <f t="shared" si="75"/>
        <v>0</v>
      </c>
      <c r="V94">
        <f t="shared" si="76"/>
        <v>0</v>
      </c>
      <c r="W94">
        <f t="shared" si="77"/>
        <v>0</v>
      </c>
      <c r="X94">
        <f t="shared" si="78"/>
        <v>0</v>
      </c>
      <c r="Y94">
        <f t="shared" si="79"/>
        <v>0</v>
      </c>
      <c r="AA94">
        <v>80891185</v>
      </c>
      <c r="AB94">
        <f t="shared" si="80"/>
        <v>54.81</v>
      </c>
      <c r="AC94">
        <f>ROUND((ES94),6)</f>
        <v>54.81</v>
      </c>
      <c r="AD94">
        <f>ROUND((((ET94)-(EU94))+AE94),6)</f>
        <v>0</v>
      </c>
      <c r="AE94">
        <f>ROUND((EU94),6)</f>
        <v>0</v>
      </c>
      <c r="AF94">
        <f>ROUND((EV94),6)</f>
        <v>0</v>
      </c>
      <c r="AG94">
        <f t="shared" si="81"/>
        <v>0</v>
      </c>
      <c r="AH94">
        <f>(EW94)</f>
        <v>0</v>
      </c>
      <c r="AI94">
        <f>(EX94)</f>
        <v>0</v>
      </c>
      <c r="AJ94">
        <f t="shared" si="82"/>
        <v>0</v>
      </c>
      <c r="AK94">
        <v>54.81</v>
      </c>
      <c r="AL94">
        <v>54.81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70</v>
      </c>
      <c r="AU94">
        <v>10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1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4</v>
      </c>
      <c r="BJ94" t="s">
        <v>40</v>
      </c>
      <c r="BM94">
        <v>0</v>
      </c>
      <c r="BN94">
        <v>0</v>
      </c>
      <c r="BO94" t="s">
        <v>3</v>
      </c>
      <c r="BP94">
        <v>0</v>
      </c>
      <c r="BQ94">
        <v>1</v>
      </c>
      <c r="BR94">
        <v>1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70</v>
      </c>
      <c r="CA94">
        <v>10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83"/>
        <v>-2287.81</v>
      </c>
      <c r="CQ94">
        <f t="shared" si="84"/>
        <v>54.81</v>
      </c>
      <c r="CR94">
        <f>((((ET94)*BB94-(EU94)*BS94)+AE94*BS94)*AV94)</f>
        <v>0</v>
      </c>
      <c r="CS94">
        <f t="shared" si="85"/>
        <v>0</v>
      </c>
      <c r="CT94">
        <f t="shared" si="86"/>
        <v>0</v>
      </c>
      <c r="CU94">
        <f t="shared" si="87"/>
        <v>0</v>
      </c>
      <c r="CV94">
        <f t="shared" si="88"/>
        <v>0</v>
      </c>
      <c r="CW94">
        <f t="shared" si="89"/>
        <v>0</v>
      </c>
      <c r="CX94">
        <f t="shared" si="90"/>
        <v>0</v>
      </c>
      <c r="CY94">
        <f t="shared" si="91"/>
        <v>0</v>
      </c>
      <c r="CZ94">
        <f t="shared" si="92"/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1007</v>
      </c>
      <c r="DV94" t="s">
        <v>39</v>
      </c>
      <c r="DW94" t="s">
        <v>39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80196140</v>
      </c>
      <c r="EF94">
        <v>1</v>
      </c>
      <c r="EG94" t="s">
        <v>23</v>
      </c>
      <c r="EH94">
        <v>0</v>
      </c>
      <c r="EI94" t="s">
        <v>3</v>
      </c>
      <c r="EJ94">
        <v>4</v>
      </c>
      <c r="EK94">
        <v>0</v>
      </c>
      <c r="EL94" t="s">
        <v>24</v>
      </c>
      <c r="EM94" t="s">
        <v>25</v>
      </c>
      <c r="EO94" t="s">
        <v>3</v>
      </c>
      <c r="EQ94">
        <v>0</v>
      </c>
      <c r="ER94">
        <v>54.81</v>
      </c>
      <c r="ES94">
        <v>54.81</v>
      </c>
      <c r="ET94">
        <v>0</v>
      </c>
      <c r="EU94">
        <v>0</v>
      </c>
      <c r="EV94">
        <v>0</v>
      </c>
      <c r="EW94">
        <v>0</v>
      </c>
      <c r="EX94">
        <v>0</v>
      </c>
      <c r="FQ94">
        <v>0</v>
      </c>
      <c r="FR94">
        <v>0</v>
      </c>
      <c r="FS94">
        <v>0</v>
      </c>
      <c r="FX94">
        <v>70</v>
      </c>
      <c r="FY94">
        <v>10</v>
      </c>
      <c r="GA94" t="s">
        <v>3</v>
      </c>
      <c r="GD94">
        <v>0</v>
      </c>
      <c r="GF94">
        <v>2112060389</v>
      </c>
      <c r="GG94">
        <v>2</v>
      </c>
      <c r="GH94">
        <v>1</v>
      </c>
      <c r="GI94">
        <v>-2</v>
      </c>
      <c r="GJ94">
        <v>0</v>
      </c>
      <c r="GK94">
        <f>ROUND(R94*(R12)/100,2)</f>
        <v>0</v>
      </c>
      <c r="GL94">
        <f t="shared" si="93"/>
        <v>0</v>
      </c>
      <c r="GM94">
        <f t="shared" si="94"/>
        <v>-2287.81</v>
      </c>
      <c r="GN94">
        <f t="shared" si="95"/>
        <v>0</v>
      </c>
      <c r="GO94">
        <f t="shared" si="96"/>
        <v>0</v>
      </c>
      <c r="GP94">
        <f t="shared" si="97"/>
        <v>-2287.81</v>
      </c>
      <c r="GR94">
        <v>0</v>
      </c>
      <c r="GS94">
        <v>3</v>
      </c>
      <c r="GT94">
        <v>0</v>
      </c>
      <c r="GU94" t="s">
        <v>3</v>
      </c>
      <c r="GV94">
        <f t="shared" si="98"/>
        <v>0</v>
      </c>
      <c r="GW94">
        <v>1</v>
      </c>
      <c r="GX94">
        <f t="shared" si="99"/>
        <v>0</v>
      </c>
      <c r="HA94">
        <v>0</v>
      </c>
      <c r="HB94">
        <v>0</v>
      </c>
      <c r="HC94">
        <f t="shared" si="100"/>
        <v>0</v>
      </c>
      <c r="HE94" t="s">
        <v>3</v>
      </c>
      <c r="HF94" t="s">
        <v>3</v>
      </c>
      <c r="HM94" t="s">
        <v>181</v>
      </c>
      <c r="HN94" t="s">
        <v>3</v>
      </c>
      <c r="HO94" t="s">
        <v>3</v>
      </c>
      <c r="HP94" t="s">
        <v>3</v>
      </c>
      <c r="HQ94" t="s">
        <v>3</v>
      </c>
      <c r="HS94">
        <v>0</v>
      </c>
      <c r="IK94">
        <v>0</v>
      </c>
    </row>
    <row r="96" spans="1:245" ht="13" x14ac:dyDescent="0.3">
      <c r="A96" s="2">
        <v>51</v>
      </c>
      <c r="B96" s="2">
        <f>B79</f>
        <v>1</v>
      </c>
      <c r="C96" s="2">
        <f>A79</f>
        <v>5</v>
      </c>
      <c r="D96" s="2">
        <f>ROW(A79)</f>
        <v>79</v>
      </c>
      <c r="E96" s="2"/>
      <c r="F96" s="2" t="str">
        <f>IF(F79&lt;&gt;"",F79,"")</f>
        <v>Новый подраздел</v>
      </c>
      <c r="G96" s="2" t="str">
        <f>IF(G79&lt;&gt;"",G79,"")</f>
        <v xml:space="preserve">Подраздел: ЛЕТНЯЯ УБОРКА </v>
      </c>
      <c r="H96" s="2">
        <v>0</v>
      </c>
      <c r="I96" s="2"/>
      <c r="J96" s="2"/>
      <c r="K96" s="2"/>
      <c r="L96" s="2"/>
      <c r="M96" s="2"/>
      <c r="N96" s="2"/>
      <c r="O96" s="2">
        <f t="shared" ref="O96:T96" si="101">ROUND(AB96,2)</f>
        <v>15344938.539999999</v>
      </c>
      <c r="P96" s="2">
        <f t="shared" si="101"/>
        <v>62517.599999999999</v>
      </c>
      <c r="Q96" s="2">
        <f t="shared" si="101"/>
        <v>11551125.220000001</v>
      </c>
      <c r="R96" s="2">
        <f t="shared" si="101"/>
        <v>5454553.0199999996</v>
      </c>
      <c r="S96" s="2">
        <f t="shared" si="101"/>
        <v>3731295.72</v>
      </c>
      <c r="T96" s="2">
        <f t="shared" si="101"/>
        <v>0</v>
      </c>
      <c r="U96" s="2">
        <f>AH96</f>
        <v>8234.2645800000028</v>
      </c>
      <c r="V96" s="2">
        <f>AI96</f>
        <v>0</v>
      </c>
      <c r="W96" s="2">
        <f>ROUND(AJ96,2)</f>
        <v>0</v>
      </c>
      <c r="X96" s="2">
        <f>ROUND(AK96,2)</f>
        <v>2611907.0099999998</v>
      </c>
      <c r="Y96" s="2">
        <f>ROUND(AL96,2)</f>
        <v>373129.57</v>
      </c>
      <c r="Z96" s="2"/>
      <c r="AA96" s="2"/>
      <c r="AB96" s="2">
        <f>ROUND(SUMIF(AA83:AA94,"=80891185",O83:O94),2)</f>
        <v>15344938.539999999</v>
      </c>
      <c r="AC96" s="2">
        <f>ROUND(SUMIF(AA83:AA94,"=80891185",P83:P94),2)</f>
        <v>62517.599999999999</v>
      </c>
      <c r="AD96" s="2">
        <f>ROUND(SUMIF(AA83:AA94,"=80891185",Q83:Q94),2)</f>
        <v>11551125.220000001</v>
      </c>
      <c r="AE96" s="2">
        <f>ROUND(SUMIF(AA83:AA94,"=80891185",R83:R94),2)</f>
        <v>5454553.0199999996</v>
      </c>
      <c r="AF96" s="2">
        <f>ROUND(SUMIF(AA83:AA94,"=80891185",S83:S94),2)</f>
        <v>3731295.72</v>
      </c>
      <c r="AG96" s="2">
        <f>ROUND(SUMIF(AA83:AA94,"=80891185",T83:T94),2)</f>
        <v>0</v>
      </c>
      <c r="AH96" s="2">
        <f>SUMIF(AA83:AA94,"=80891185",U83:U94)</f>
        <v>8234.2645800000028</v>
      </c>
      <c r="AI96" s="2">
        <f>SUMIF(AA83:AA94,"=80891185",V83:V94)</f>
        <v>0</v>
      </c>
      <c r="AJ96" s="2">
        <f>ROUND(SUMIF(AA83:AA94,"=80891185",W83:W94),2)</f>
        <v>0</v>
      </c>
      <c r="AK96" s="2">
        <f>ROUND(SUMIF(AA83:AA94,"=80891185",X83:X94),2)</f>
        <v>2611907.0099999998</v>
      </c>
      <c r="AL96" s="2">
        <f>ROUND(SUMIF(AA83:AA94,"=80891185",Y83:Y94),2)</f>
        <v>373129.57</v>
      </c>
      <c r="AM96" s="2"/>
      <c r="AN96" s="2"/>
      <c r="AO96" s="2">
        <f t="shared" ref="AO96:BD96" si="102">ROUND(BX96,2)</f>
        <v>0</v>
      </c>
      <c r="AP96" s="2">
        <f t="shared" si="102"/>
        <v>0</v>
      </c>
      <c r="AQ96" s="2">
        <f t="shared" si="102"/>
        <v>0</v>
      </c>
      <c r="AR96" s="2">
        <f t="shared" si="102"/>
        <v>24220892.370000001</v>
      </c>
      <c r="AS96" s="2">
        <f t="shared" si="102"/>
        <v>0</v>
      </c>
      <c r="AT96" s="2">
        <f t="shared" si="102"/>
        <v>0</v>
      </c>
      <c r="AU96" s="2">
        <f t="shared" si="102"/>
        <v>24220892.370000001</v>
      </c>
      <c r="AV96" s="2">
        <f t="shared" si="102"/>
        <v>62517.599999999999</v>
      </c>
      <c r="AW96" s="2">
        <f t="shared" si="102"/>
        <v>62517.599999999999</v>
      </c>
      <c r="AX96" s="2">
        <f t="shared" si="102"/>
        <v>0</v>
      </c>
      <c r="AY96" s="2">
        <f t="shared" si="102"/>
        <v>62517.599999999999</v>
      </c>
      <c r="AZ96" s="2">
        <f t="shared" si="102"/>
        <v>0</v>
      </c>
      <c r="BA96" s="2">
        <f t="shared" si="102"/>
        <v>0</v>
      </c>
      <c r="BB96" s="2">
        <f t="shared" si="102"/>
        <v>0</v>
      </c>
      <c r="BC96" s="2">
        <f t="shared" si="102"/>
        <v>0</v>
      </c>
      <c r="BD96" s="2">
        <f t="shared" si="102"/>
        <v>0</v>
      </c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>
        <f>ROUND(SUMIF(AA83:AA94,"=80891185",FQ83:FQ94),2)</f>
        <v>0</v>
      </c>
      <c r="BY96" s="2">
        <f>ROUND(SUMIF(AA83:AA94,"=80891185",FR83:FR94),2)</f>
        <v>0</v>
      </c>
      <c r="BZ96" s="2">
        <f>ROUND(SUMIF(AA83:AA94,"=80891185",GL83:GL94),2)</f>
        <v>0</v>
      </c>
      <c r="CA96" s="2">
        <f>ROUND(SUMIF(AA83:AA94,"=80891185",GM83:GM94),2)</f>
        <v>24220892.370000001</v>
      </c>
      <c r="CB96" s="2">
        <f>ROUND(SUMIF(AA83:AA94,"=80891185",GN83:GN94),2)</f>
        <v>0</v>
      </c>
      <c r="CC96" s="2">
        <f>ROUND(SUMIF(AA83:AA94,"=80891185",GO83:GO94),2)</f>
        <v>0</v>
      </c>
      <c r="CD96" s="2">
        <f>ROUND(SUMIF(AA83:AA94,"=80891185",GP83:GP94),2)</f>
        <v>24220892.370000001</v>
      </c>
      <c r="CE96" s="2">
        <f>AC96-BX96</f>
        <v>62517.599999999999</v>
      </c>
      <c r="CF96" s="2">
        <f>AC96-BY96</f>
        <v>62517.599999999999</v>
      </c>
      <c r="CG96" s="2">
        <f>BX96-BZ96</f>
        <v>0</v>
      </c>
      <c r="CH96" s="2">
        <f>AC96-BX96-BY96+BZ96</f>
        <v>62517.599999999999</v>
      </c>
      <c r="CI96" s="2">
        <f>BY96-BZ96</f>
        <v>0</v>
      </c>
      <c r="CJ96" s="2">
        <f>ROUND(SUMIF(AA83:AA94,"=80891185",GX83:GX94),2)</f>
        <v>0</v>
      </c>
      <c r="CK96" s="2">
        <f>ROUND(SUMIF(AA83:AA94,"=80891185",GY83:GY94),2)</f>
        <v>0</v>
      </c>
      <c r="CL96" s="2">
        <f>ROUND(SUMIF(AA83:AA94,"=80891185",GZ83:GZ94),2)</f>
        <v>0</v>
      </c>
      <c r="CM96" s="2">
        <f>ROUND(SUMIF(AA83:AA94,"=80891185",HD83:HD94),2)</f>
        <v>0</v>
      </c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>
        <v>0</v>
      </c>
    </row>
    <row r="98" spans="1:28" ht="13" x14ac:dyDescent="0.3">
      <c r="A98" s="4">
        <v>50</v>
      </c>
      <c r="B98" s="4">
        <v>0</v>
      </c>
      <c r="C98" s="4">
        <v>0</v>
      </c>
      <c r="D98" s="4">
        <v>1</v>
      </c>
      <c r="E98" s="4">
        <v>201</v>
      </c>
      <c r="F98" s="4">
        <f>ROUND(Source!O96,O98)</f>
        <v>15344938.539999999</v>
      </c>
      <c r="G98" s="4" t="s">
        <v>94</v>
      </c>
      <c r="H98" s="4" t="s">
        <v>95</v>
      </c>
      <c r="I98" s="4"/>
      <c r="J98" s="4"/>
      <c r="K98" s="4">
        <v>201</v>
      </c>
      <c r="L98" s="4">
        <v>1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15344938.539999999</v>
      </c>
      <c r="X98" s="4">
        <v>1</v>
      </c>
      <c r="Y98" s="4">
        <v>15344938.539999999</v>
      </c>
      <c r="Z98" s="4"/>
      <c r="AA98" s="4"/>
      <c r="AB98" s="4"/>
    </row>
    <row r="99" spans="1:28" ht="13" x14ac:dyDescent="0.3">
      <c r="A99" s="4">
        <v>50</v>
      </c>
      <c r="B99" s="4">
        <v>0</v>
      </c>
      <c r="C99" s="4">
        <v>0</v>
      </c>
      <c r="D99" s="4">
        <v>1</v>
      </c>
      <c r="E99" s="4">
        <v>202</v>
      </c>
      <c r="F99" s="4">
        <f>ROUND(Source!P96,O99)</f>
        <v>62517.599999999999</v>
      </c>
      <c r="G99" s="4" t="s">
        <v>96</v>
      </c>
      <c r="H99" s="4" t="s">
        <v>97</v>
      </c>
      <c r="I99" s="4"/>
      <c r="J99" s="4"/>
      <c r="K99" s="4">
        <v>202</v>
      </c>
      <c r="L99" s="4">
        <v>2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62517.599999999999</v>
      </c>
      <c r="X99" s="4">
        <v>1</v>
      </c>
      <c r="Y99" s="4">
        <v>62517.599999999999</v>
      </c>
      <c r="Z99" s="4"/>
      <c r="AA99" s="4"/>
      <c r="AB99" s="4"/>
    </row>
    <row r="100" spans="1:28" ht="13" x14ac:dyDescent="0.3">
      <c r="A100" s="4">
        <v>50</v>
      </c>
      <c r="B100" s="4">
        <v>0</v>
      </c>
      <c r="C100" s="4">
        <v>0</v>
      </c>
      <c r="D100" s="4">
        <v>1</v>
      </c>
      <c r="E100" s="4">
        <v>222</v>
      </c>
      <c r="F100" s="4">
        <f>ROUND(Source!AO96,O100)</f>
        <v>0</v>
      </c>
      <c r="G100" s="4" t="s">
        <v>98</v>
      </c>
      <c r="H100" s="4" t="s">
        <v>99</v>
      </c>
      <c r="I100" s="4"/>
      <c r="J100" s="4"/>
      <c r="K100" s="4">
        <v>222</v>
      </c>
      <c r="L100" s="4">
        <v>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ht="13" x14ac:dyDescent="0.3">
      <c r="A101" s="4">
        <v>50</v>
      </c>
      <c r="B101" s="4">
        <v>0</v>
      </c>
      <c r="C101" s="4">
        <v>0</v>
      </c>
      <c r="D101" s="4">
        <v>1</v>
      </c>
      <c r="E101" s="4">
        <v>225</v>
      </c>
      <c r="F101" s="4">
        <f>ROUND(Source!AV96,O101)</f>
        <v>62517.599999999999</v>
      </c>
      <c r="G101" s="4" t="s">
        <v>100</v>
      </c>
      <c r="H101" s="4" t="s">
        <v>101</v>
      </c>
      <c r="I101" s="4"/>
      <c r="J101" s="4"/>
      <c r="K101" s="4">
        <v>225</v>
      </c>
      <c r="L101" s="4">
        <v>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62517.599999999999</v>
      </c>
      <c r="X101" s="4">
        <v>1</v>
      </c>
      <c r="Y101" s="4">
        <v>62517.599999999999</v>
      </c>
      <c r="Z101" s="4"/>
      <c r="AA101" s="4"/>
      <c r="AB101" s="4"/>
    </row>
    <row r="102" spans="1:28" ht="13" x14ac:dyDescent="0.3">
      <c r="A102" s="4">
        <v>50</v>
      </c>
      <c r="B102" s="4">
        <v>0</v>
      </c>
      <c r="C102" s="4">
        <v>0</v>
      </c>
      <c r="D102" s="4">
        <v>1</v>
      </c>
      <c r="E102" s="4">
        <v>226</v>
      </c>
      <c r="F102" s="4">
        <f>ROUND(Source!AW96,O102)</f>
        <v>62517.599999999999</v>
      </c>
      <c r="G102" s="4" t="s">
        <v>102</v>
      </c>
      <c r="H102" s="4" t="s">
        <v>103</v>
      </c>
      <c r="I102" s="4"/>
      <c r="J102" s="4"/>
      <c r="K102" s="4">
        <v>226</v>
      </c>
      <c r="L102" s="4">
        <v>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62517.599999999999</v>
      </c>
      <c r="X102" s="4">
        <v>1</v>
      </c>
      <c r="Y102" s="4">
        <v>62517.599999999999</v>
      </c>
      <c r="Z102" s="4"/>
      <c r="AA102" s="4"/>
      <c r="AB102" s="4"/>
    </row>
    <row r="103" spans="1:28" ht="13" x14ac:dyDescent="0.3">
      <c r="A103" s="4">
        <v>50</v>
      </c>
      <c r="B103" s="4">
        <v>0</v>
      </c>
      <c r="C103" s="4">
        <v>0</v>
      </c>
      <c r="D103" s="4">
        <v>1</v>
      </c>
      <c r="E103" s="4">
        <v>227</v>
      </c>
      <c r="F103" s="4">
        <f>ROUND(Source!AX96,O103)</f>
        <v>0</v>
      </c>
      <c r="G103" s="4" t="s">
        <v>104</v>
      </c>
      <c r="H103" s="4" t="s">
        <v>105</v>
      </c>
      <c r="I103" s="4"/>
      <c r="J103" s="4"/>
      <c r="K103" s="4">
        <v>227</v>
      </c>
      <c r="L103" s="4">
        <v>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ht="13" x14ac:dyDescent="0.3">
      <c r="A104" s="4">
        <v>50</v>
      </c>
      <c r="B104" s="4">
        <v>0</v>
      </c>
      <c r="C104" s="4">
        <v>0</v>
      </c>
      <c r="D104" s="4">
        <v>1</v>
      </c>
      <c r="E104" s="4">
        <v>228</v>
      </c>
      <c r="F104" s="4">
        <f>ROUND(Source!AY96,O104)</f>
        <v>62517.599999999999</v>
      </c>
      <c r="G104" s="4" t="s">
        <v>106</v>
      </c>
      <c r="H104" s="4" t="s">
        <v>107</v>
      </c>
      <c r="I104" s="4"/>
      <c r="J104" s="4"/>
      <c r="K104" s="4">
        <v>228</v>
      </c>
      <c r="L104" s="4">
        <v>7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62517.599999999999</v>
      </c>
      <c r="X104" s="4">
        <v>1</v>
      </c>
      <c r="Y104" s="4">
        <v>62517.599999999999</v>
      </c>
      <c r="Z104" s="4"/>
      <c r="AA104" s="4"/>
      <c r="AB104" s="4"/>
    </row>
    <row r="105" spans="1:28" ht="13" x14ac:dyDescent="0.3">
      <c r="A105" s="4">
        <v>50</v>
      </c>
      <c r="B105" s="4">
        <v>0</v>
      </c>
      <c r="C105" s="4">
        <v>0</v>
      </c>
      <c r="D105" s="4">
        <v>1</v>
      </c>
      <c r="E105" s="4">
        <v>216</v>
      </c>
      <c r="F105" s="4">
        <f>ROUND(Source!AP96,O105)</f>
        <v>0</v>
      </c>
      <c r="G105" s="4" t="s">
        <v>108</v>
      </c>
      <c r="H105" s="4" t="s">
        <v>109</v>
      </c>
      <c r="I105" s="4"/>
      <c r="J105" s="4"/>
      <c r="K105" s="4">
        <v>216</v>
      </c>
      <c r="L105" s="4">
        <v>8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8" ht="13" x14ac:dyDescent="0.3">
      <c r="A106" s="4">
        <v>50</v>
      </c>
      <c r="B106" s="4">
        <v>0</v>
      </c>
      <c r="C106" s="4">
        <v>0</v>
      </c>
      <c r="D106" s="4">
        <v>1</v>
      </c>
      <c r="E106" s="4">
        <v>223</v>
      </c>
      <c r="F106" s="4">
        <f>ROUND(Source!AQ96,O106)</f>
        <v>0</v>
      </c>
      <c r="G106" s="4" t="s">
        <v>110</v>
      </c>
      <c r="H106" s="4" t="s">
        <v>111</v>
      </c>
      <c r="I106" s="4"/>
      <c r="J106" s="4"/>
      <c r="K106" s="4">
        <v>223</v>
      </c>
      <c r="L106" s="4">
        <v>9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229</v>
      </c>
      <c r="F107" s="4">
        <f>ROUND(Source!AZ96,O107)</f>
        <v>0</v>
      </c>
      <c r="G107" s="4" t="s">
        <v>112</v>
      </c>
      <c r="H107" s="4" t="s">
        <v>113</v>
      </c>
      <c r="I107" s="4"/>
      <c r="J107" s="4"/>
      <c r="K107" s="4">
        <v>229</v>
      </c>
      <c r="L107" s="4">
        <v>10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203</v>
      </c>
      <c r="F108" s="4">
        <f>ROUND(Source!Q96,O108)</f>
        <v>11551125.220000001</v>
      </c>
      <c r="G108" s="4" t="s">
        <v>114</v>
      </c>
      <c r="H108" s="4" t="s">
        <v>115</v>
      </c>
      <c r="I108" s="4"/>
      <c r="J108" s="4"/>
      <c r="K108" s="4">
        <v>203</v>
      </c>
      <c r="L108" s="4">
        <v>11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11551125.220000001</v>
      </c>
      <c r="X108" s="4">
        <v>1</v>
      </c>
      <c r="Y108" s="4">
        <v>11551125.220000001</v>
      </c>
      <c r="Z108" s="4"/>
      <c r="AA108" s="4"/>
      <c r="AB108" s="4"/>
    </row>
    <row r="109" spans="1:28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231</v>
      </c>
      <c r="F109" s="4">
        <f>ROUND(Source!BB96,O109)</f>
        <v>0</v>
      </c>
      <c r="G109" s="4" t="s">
        <v>116</v>
      </c>
      <c r="H109" s="4" t="s">
        <v>117</v>
      </c>
      <c r="I109" s="4"/>
      <c r="J109" s="4"/>
      <c r="K109" s="4">
        <v>231</v>
      </c>
      <c r="L109" s="4">
        <v>12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204</v>
      </c>
      <c r="F110" s="4">
        <f>ROUND(Source!R96,O110)</f>
        <v>5454553.0199999996</v>
      </c>
      <c r="G110" s="4" t="s">
        <v>118</v>
      </c>
      <c r="H110" s="4" t="s">
        <v>119</v>
      </c>
      <c r="I110" s="4"/>
      <c r="J110" s="4"/>
      <c r="K110" s="4">
        <v>204</v>
      </c>
      <c r="L110" s="4">
        <v>13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5454553.0199999996</v>
      </c>
      <c r="X110" s="4">
        <v>1</v>
      </c>
      <c r="Y110" s="4">
        <v>5454553.0199999996</v>
      </c>
      <c r="Z110" s="4"/>
      <c r="AA110" s="4"/>
      <c r="AB110" s="4"/>
    </row>
    <row r="111" spans="1:28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205</v>
      </c>
      <c r="F111" s="4">
        <f>ROUND(Source!S96,O111)</f>
        <v>3731295.72</v>
      </c>
      <c r="G111" s="4" t="s">
        <v>120</v>
      </c>
      <c r="H111" s="4" t="s">
        <v>121</v>
      </c>
      <c r="I111" s="4"/>
      <c r="J111" s="4"/>
      <c r="K111" s="4">
        <v>205</v>
      </c>
      <c r="L111" s="4">
        <v>14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3731295.72</v>
      </c>
      <c r="X111" s="4">
        <v>1</v>
      </c>
      <c r="Y111" s="4">
        <v>3731295.72</v>
      </c>
      <c r="Z111" s="4"/>
      <c r="AA111" s="4"/>
      <c r="AB111" s="4"/>
    </row>
    <row r="112" spans="1:28" ht="13" x14ac:dyDescent="0.3">
      <c r="A112" s="4">
        <v>50</v>
      </c>
      <c r="B112" s="4">
        <v>0</v>
      </c>
      <c r="C112" s="4">
        <v>0</v>
      </c>
      <c r="D112" s="4">
        <v>1</v>
      </c>
      <c r="E112" s="4">
        <v>232</v>
      </c>
      <c r="F112" s="4">
        <f>ROUND(Source!BC96,O112)</f>
        <v>0</v>
      </c>
      <c r="G112" s="4" t="s">
        <v>122</v>
      </c>
      <c r="H112" s="4" t="s">
        <v>123</v>
      </c>
      <c r="I112" s="4"/>
      <c r="J112" s="4"/>
      <c r="K112" s="4">
        <v>232</v>
      </c>
      <c r="L112" s="4">
        <v>15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06" ht="13" x14ac:dyDescent="0.3">
      <c r="A113" s="4">
        <v>50</v>
      </c>
      <c r="B113" s="4">
        <v>0</v>
      </c>
      <c r="C113" s="4">
        <v>0</v>
      </c>
      <c r="D113" s="4">
        <v>1</v>
      </c>
      <c r="E113" s="4">
        <v>214</v>
      </c>
      <c r="F113" s="4">
        <f>ROUND(Source!AS96,O113)</f>
        <v>0</v>
      </c>
      <c r="G113" s="4" t="s">
        <v>124</v>
      </c>
      <c r="H113" s="4" t="s">
        <v>125</v>
      </c>
      <c r="I113" s="4"/>
      <c r="J113" s="4"/>
      <c r="K113" s="4">
        <v>214</v>
      </c>
      <c r="L113" s="4">
        <v>16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06" ht="13" x14ac:dyDescent="0.3">
      <c r="A114" s="4">
        <v>50</v>
      </c>
      <c r="B114" s="4">
        <v>0</v>
      </c>
      <c r="C114" s="4">
        <v>0</v>
      </c>
      <c r="D114" s="4">
        <v>1</v>
      </c>
      <c r="E114" s="4">
        <v>215</v>
      </c>
      <c r="F114" s="4">
        <f>ROUND(Source!AT96,O114)</f>
        <v>0</v>
      </c>
      <c r="G114" s="4" t="s">
        <v>126</v>
      </c>
      <c r="H114" s="4" t="s">
        <v>127</v>
      </c>
      <c r="I114" s="4"/>
      <c r="J114" s="4"/>
      <c r="K114" s="4">
        <v>215</v>
      </c>
      <c r="L114" s="4">
        <v>17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06" ht="13" x14ac:dyDescent="0.3">
      <c r="A115" s="4">
        <v>50</v>
      </c>
      <c r="B115" s="4">
        <v>0</v>
      </c>
      <c r="C115" s="4">
        <v>0</v>
      </c>
      <c r="D115" s="4">
        <v>1</v>
      </c>
      <c r="E115" s="4">
        <v>217</v>
      </c>
      <c r="F115" s="4">
        <f>ROUND(Source!AU96,O115)</f>
        <v>24220892.370000001</v>
      </c>
      <c r="G115" s="4" t="s">
        <v>128</v>
      </c>
      <c r="H115" s="4" t="s">
        <v>129</v>
      </c>
      <c r="I115" s="4"/>
      <c r="J115" s="4"/>
      <c r="K115" s="4">
        <v>217</v>
      </c>
      <c r="L115" s="4">
        <v>18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24220892.370000001</v>
      </c>
      <c r="X115" s="4">
        <v>1</v>
      </c>
      <c r="Y115" s="4">
        <v>24220892.370000001</v>
      </c>
      <c r="Z115" s="4"/>
      <c r="AA115" s="4"/>
      <c r="AB115" s="4"/>
    </row>
    <row r="116" spans="1:206" ht="13" x14ac:dyDescent="0.3">
      <c r="A116" s="4">
        <v>50</v>
      </c>
      <c r="B116" s="4">
        <v>0</v>
      </c>
      <c r="C116" s="4">
        <v>0</v>
      </c>
      <c r="D116" s="4">
        <v>1</v>
      </c>
      <c r="E116" s="4">
        <v>230</v>
      </c>
      <c r="F116" s="4">
        <f>ROUND(Source!BA96,O116)</f>
        <v>0</v>
      </c>
      <c r="G116" s="4" t="s">
        <v>130</v>
      </c>
      <c r="H116" s="4" t="s">
        <v>131</v>
      </c>
      <c r="I116" s="4"/>
      <c r="J116" s="4"/>
      <c r="K116" s="4">
        <v>230</v>
      </c>
      <c r="L116" s="4">
        <v>19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06" ht="13" x14ac:dyDescent="0.3">
      <c r="A117" s="4">
        <v>50</v>
      </c>
      <c r="B117" s="4">
        <v>0</v>
      </c>
      <c r="C117" s="4">
        <v>0</v>
      </c>
      <c r="D117" s="4">
        <v>1</v>
      </c>
      <c r="E117" s="4">
        <v>206</v>
      </c>
      <c r="F117" s="4">
        <f>ROUND(Source!T96,O117)</f>
        <v>0</v>
      </c>
      <c r="G117" s="4" t="s">
        <v>132</v>
      </c>
      <c r="H117" s="4" t="s">
        <v>133</v>
      </c>
      <c r="I117" s="4"/>
      <c r="J117" s="4"/>
      <c r="K117" s="4">
        <v>206</v>
      </c>
      <c r="L117" s="4">
        <v>20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06" ht="13" x14ac:dyDescent="0.3">
      <c r="A118" s="4">
        <v>50</v>
      </c>
      <c r="B118" s="4">
        <v>0</v>
      </c>
      <c r="C118" s="4">
        <v>0</v>
      </c>
      <c r="D118" s="4">
        <v>1</v>
      </c>
      <c r="E118" s="4">
        <v>207</v>
      </c>
      <c r="F118" s="4">
        <f>Source!U96</f>
        <v>8234.2645800000028</v>
      </c>
      <c r="G118" s="4" t="s">
        <v>134</v>
      </c>
      <c r="H118" s="4" t="s">
        <v>135</v>
      </c>
      <c r="I118" s="4"/>
      <c r="J118" s="4"/>
      <c r="K118" s="4">
        <v>207</v>
      </c>
      <c r="L118" s="4">
        <v>21</v>
      </c>
      <c r="M118" s="4">
        <v>3</v>
      </c>
      <c r="N118" s="4" t="s">
        <v>3</v>
      </c>
      <c r="O118" s="4">
        <v>-1</v>
      </c>
      <c r="P118" s="4"/>
      <c r="Q118" s="4"/>
      <c r="R118" s="4"/>
      <c r="S118" s="4"/>
      <c r="T118" s="4"/>
      <c r="U118" s="4"/>
      <c r="V118" s="4"/>
      <c r="W118" s="4">
        <v>8234.2645800000009</v>
      </c>
      <c r="X118" s="4">
        <v>1</v>
      </c>
      <c r="Y118" s="4">
        <v>8234.2645800000009</v>
      </c>
      <c r="Z118" s="4"/>
      <c r="AA118" s="4"/>
      <c r="AB118" s="4"/>
    </row>
    <row r="119" spans="1:206" ht="13" x14ac:dyDescent="0.3">
      <c r="A119" s="4">
        <v>50</v>
      </c>
      <c r="B119" s="4">
        <v>0</v>
      </c>
      <c r="C119" s="4">
        <v>0</v>
      </c>
      <c r="D119" s="4">
        <v>1</v>
      </c>
      <c r="E119" s="4">
        <v>208</v>
      </c>
      <c r="F119" s="4">
        <f>Source!V96</f>
        <v>0</v>
      </c>
      <c r="G119" s="4" t="s">
        <v>136</v>
      </c>
      <c r="H119" s="4" t="s">
        <v>137</v>
      </c>
      <c r="I119" s="4"/>
      <c r="J119" s="4"/>
      <c r="K119" s="4">
        <v>208</v>
      </c>
      <c r="L119" s="4">
        <v>22</v>
      </c>
      <c r="M119" s="4">
        <v>3</v>
      </c>
      <c r="N119" s="4" t="s">
        <v>3</v>
      </c>
      <c r="O119" s="4">
        <v>-1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06" ht="13" x14ac:dyDescent="0.3">
      <c r="A120" s="4">
        <v>50</v>
      </c>
      <c r="B120" s="4">
        <v>0</v>
      </c>
      <c r="C120" s="4">
        <v>0</v>
      </c>
      <c r="D120" s="4">
        <v>1</v>
      </c>
      <c r="E120" s="4">
        <v>209</v>
      </c>
      <c r="F120" s="4">
        <f>ROUND(Source!W96,O120)</f>
        <v>0</v>
      </c>
      <c r="G120" s="4" t="s">
        <v>138</v>
      </c>
      <c r="H120" s="4" t="s">
        <v>139</v>
      </c>
      <c r="I120" s="4"/>
      <c r="J120" s="4"/>
      <c r="K120" s="4">
        <v>209</v>
      </c>
      <c r="L120" s="4">
        <v>23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06" ht="13" x14ac:dyDescent="0.3">
      <c r="A121" s="4">
        <v>50</v>
      </c>
      <c r="B121" s="4">
        <v>0</v>
      </c>
      <c r="C121" s="4">
        <v>0</v>
      </c>
      <c r="D121" s="4">
        <v>1</v>
      </c>
      <c r="E121" s="4">
        <v>233</v>
      </c>
      <c r="F121" s="4">
        <f>ROUND(Source!BD96,O121)</f>
        <v>0</v>
      </c>
      <c r="G121" s="4" t="s">
        <v>140</v>
      </c>
      <c r="H121" s="4" t="s">
        <v>141</v>
      </c>
      <c r="I121" s="4"/>
      <c r="J121" s="4"/>
      <c r="K121" s="4">
        <v>233</v>
      </c>
      <c r="L121" s="4">
        <v>24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06" ht="13" x14ac:dyDescent="0.3">
      <c r="A122" s="4">
        <v>50</v>
      </c>
      <c r="B122" s="4">
        <v>0</v>
      </c>
      <c r="C122" s="4">
        <v>0</v>
      </c>
      <c r="D122" s="4">
        <v>1</v>
      </c>
      <c r="E122" s="4">
        <v>210</v>
      </c>
      <c r="F122" s="4">
        <f>ROUND(Source!X96,O122)</f>
        <v>2611907.0099999998</v>
      </c>
      <c r="G122" s="4" t="s">
        <v>142</v>
      </c>
      <c r="H122" s="4" t="s">
        <v>143</v>
      </c>
      <c r="I122" s="4"/>
      <c r="J122" s="4"/>
      <c r="K122" s="4">
        <v>210</v>
      </c>
      <c r="L122" s="4">
        <v>25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2611907.0099999998</v>
      </c>
      <c r="X122" s="4">
        <v>1</v>
      </c>
      <c r="Y122" s="4">
        <v>2611907.0099999998</v>
      </c>
      <c r="Z122" s="4"/>
      <c r="AA122" s="4"/>
      <c r="AB122" s="4"/>
    </row>
    <row r="123" spans="1:206" ht="13" x14ac:dyDescent="0.3">
      <c r="A123" s="4">
        <v>50</v>
      </c>
      <c r="B123" s="4">
        <v>0</v>
      </c>
      <c r="C123" s="4">
        <v>0</v>
      </c>
      <c r="D123" s="4">
        <v>1</v>
      </c>
      <c r="E123" s="4">
        <v>211</v>
      </c>
      <c r="F123" s="4">
        <f>ROUND(Source!Y96,O123)</f>
        <v>373129.57</v>
      </c>
      <c r="G123" s="4" t="s">
        <v>144</v>
      </c>
      <c r="H123" s="4" t="s">
        <v>145</v>
      </c>
      <c r="I123" s="4"/>
      <c r="J123" s="4"/>
      <c r="K123" s="4">
        <v>211</v>
      </c>
      <c r="L123" s="4">
        <v>26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373129.57</v>
      </c>
      <c r="X123" s="4">
        <v>1</v>
      </c>
      <c r="Y123" s="4">
        <v>373129.57</v>
      </c>
      <c r="Z123" s="4"/>
      <c r="AA123" s="4"/>
      <c r="AB123" s="4"/>
    </row>
    <row r="124" spans="1:206" ht="13" x14ac:dyDescent="0.3">
      <c r="A124" s="4">
        <v>50</v>
      </c>
      <c r="B124" s="4">
        <v>0</v>
      </c>
      <c r="C124" s="4">
        <v>0</v>
      </c>
      <c r="D124" s="4">
        <v>1</v>
      </c>
      <c r="E124" s="4">
        <v>224</v>
      </c>
      <c r="F124" s="4">
        <f>ROUND(Source!AR96,O124)</f>
        <v>24220892.370000001</v>
      </c>
      <c r="G124" s="4" t="s">
        <v>146</v>
      </c>
      <c r="H124" s="4" t="s">
        <v>147</v>
      </c>
      <c r="I124" s="4"/>
      <c r="J124" s="4"/>
      <c r="K124" s="4">
        <v>224</v>
      </c>
      <c r="L124" s="4">
        <v>27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24220892.370000001</v>
      </c>
      <c r="X124" s="4">
        <v>1</v>
      </c>
      <c r="Y124" s="4">
        <v>24220892.370000001</v>
      </c>
      <c r="Z124" s="4"/>
      <c r="AA124" s="4"/>
      <c r="AB124" s="4"/>
    </row>
    <row r="126" spans="1:206" ht="13" x14ac:dyDescent="0.3">
      <c r="A126" s="1">
        <v>5</v>
      </c>
      <c r="B126" s="1">
        <v>1</v>
      </c>
      <c r="C126" s="1"/>
      <c r="D126" s="1">
        <f>ROW(A148)</f>
        <v>148</v>
      </c>
      <c r="E126" s="1"/>
      <c r="F126" s="1" t="s">
        <v>16</v>
      </c>
      <c r="G126" s="1" t="s">
        <v>369</v>
      </c>
      <c r="H126" s="1" t="s">
        <v>3</v>
      </c>
      <c r="I126" s="1">
        <v>0</v>
      </c>
      <c r="J126" s="1"/>
      <c r="K126" s="1">
        <v>0</v>
      </c>
      <c r="L126" s="1"/>
      <c r="M126" s="1" t="s">
        <v>3</v>
      </c>
      <c r="N126" s="1"/>
      <c r="O126" s="1"/>
      <c r="P126" s="1"/>
      <c r="Q126" s="1"/>
      <c r="R126" s="1"/>
      <c r="S126" s="1">
        <v>0</v>
      </c>
      <c r="T126" s="1"/>
      <c r="U126" s="1" t="s">
        <v>3</v>
      </c>
      <c r="V126" s="1">
        <v>0</v>
      </c>
      <c r="W126" s="1"/>
      <c r="X126" s="1"/>
      <c r="Y126" s="1"/>
      <c r="Z126" s="1"/>
      <c r="AA126" s="1"/>
      <c r="AB126" s="1" t="s">
        <v>3</v>
      </c>
      <c r="AC126" s="1" t="s">
        <v>3</v>
      </c>
      <c r="AD126" s="1" t="s">
        <v>3</v>
      </c>
      <c r="AE126" s="1" t="s">
        <v>3</v>
      </c>
      <c r="AF126" s="1" t="s">
        <v>3</v>
      </c>
      <c r="AG126" s="1" t="s">
        <v>3</v>
      </c>
      <c r="AH126" s="1"/>
      <c r="AI126" s="1"/>
      <c r="AJ126" s="1"/>
      <c r="AK126" s="1"/>
      <c r="AL126" s="1"/>
      <c r="AM126" s="1"/>
      <c r="AN126" s="1"/>
      <c r="AO126" s="1"/>
      <c r="AP126" s="1" t="s">
        <v>3</v>
      </c>
      <c r="AQ126" s="1" t="s">
        <v>3</v>
      </c>
      <c r="AR126" s="1" t="s">
        <v>3</v>
      </c>
      <c r="AS126" s="1"/>
      <c r="AT126" s="1"/>
      <c r="AU126" s="1"/>
      <c r="AV126" s="1"/>
      <c r="AW126" s="1"/>
      <c r="AX126" s="1"/>
      <c r="AY126" s="1"/>
      <c r="AZ126" s="1" t="s">
        <v>3</v>
      </c>
      <c r="BA126" s="1"/>
      <c r="BB126" s="1" t="s">
        <v>3</v>
      </c>
      <c r="BC126" s="1" t="s">
        <v>3</v>
      </c>
      <c r="BD126" s="1" t="s">
        <v>3</v>
      </c>
      <c r="BE126" s="1" t="s">
        <v>3</v>
      </c>
      <c r="BF126" s="1" t="s">
        <v>3</v>
      </c>
      <c r="BG126" s="1" t="s">
        <v>3</v>
      </c>
      <c r="BH126" s="1" t="s">
        <v>3</v>
      </c>
      <c r="BI126" s="1" t="s">
        <v>3</v>
      </c>
      <c r="BJ126" s="1" t="s">
        <v>3</v>
      </c>
      <c r="BK126" s="1" t="s">
        <v>3</v>
      </c>
      <c r="BL126" s="1" t="s">
        <v>3</v>
      </c>
      <c r="BM126" s="1" t="s">
        <v>3</v>
      </c>
      <c r="BN126" s="1" t="s">
        <v>3</v>
      </c>
      <c r="BO126" s="1" t="s">
        <v>3</v>
      </c>
      <c r="BP126" s="1" t="s">
        <v>3</v>
      </c>
      <c r="BQ126" s="1"/>
      <c r="BR126" s="1"/>
      <c r="BS126" s="1"/>
      <c r="BT126" s="1"/>
      <c r="BU126" s="1"/>
      <c r="BV126" s="1"/>
      <c r="BW126" s="1"/>
      <c r="BX126" s="1">
        <v>0</v>
      </c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>
        <v>0</v>
      </c>
    </row>
    <row r="128" spans="1:206" ht="13" x14ac:dyDescent="0.3">
      <c r="A128" s="2">
        <v>52</v>
      </c>
      <c r="B128" s="2">
        <f t="shared" ref="B128:G128" si="103">B148</f>
        <v>1</v>
      </c>
      <c r="C128" s="2">
        <f t="shared" si="103"/>
        <v>5</v>
      </c>
      <c r="D128" s="2">
        <f t="shared" si="103"/>
        <v>126</v>
      </c>
      <c r="E128" s="2">
        <f t="shared" si="103"/>
        <v>0</v>
      </c>
      <c r="F128" s="2" t="str">
        <f t="shared" si="103"/>
        <v>Новый подраздел</v>
      </c>
      <c r="G128" s="2" t="str">
        <f t="shared" si="103"/>
        <v xml:space="preserve">Подраздел: УХОД ЗА ЗЕЛЕНЫМИ НАСАЖДЕНИЯМИ </v>
      </c>
      <c r="H128" s="2"/>
      <c r="I128" s="2"/>
      <c r="J128" s="2"/>
      <c r="K128" s="2"/>
      <c r="L128" s="2"/>
      <c r="M128" s="2"/>
      <c r="N128" s="2"/>
      <c r="O128" s="2">
        <f t="shared" ref="O128:AT128" si="104">O148</f>
        <v>27047653.239999998</v>
      </c>
      <c r="P128" s="2">
        <f t="shared" si="104"/>
        <v>594399.68999999994</v>
      </c>
      <c r="Q128" s="2">
        <f t="shared" si="104"/>
        <v>8999253.1799999997</v>
      </c>
      <c r="R128" s="2">
        <f t="shared" si="104"/>
        <v>2992112.62</v>
      </c>
      <c r="S128" s="2">
        <f t="shared" si="104"/>
        <v>17454000.370000001</v>
      </c>
      <c r="T128" s="2">
        <f t="shared" si="104"/>
        <v>0</v>
      </c>
      <c r="U128" s="2">
        <f t="shared" si="104"/>
        <v>37085.394700000004</v>
      </c>
      <c r="V128" s="2">
        <f t="shared" si="104"/>
        <v>0</v>
      </c>
      <c r="W128" s="2">
        <f t="shared" si="104"/>
        <v>0</v>
      </c>
      <c r="X128" s="2">
        <f t="shared" si="104"/>
        <v>12217800.279999999</v>
      </c>
      <c r="Y128" s="2">
        <f t="shared" si="104"/>
        <v>1745400.05</v>
      </c>
      <c r="Z128" s="2">
        <f t="shared" si="104"/>
        <v>0</v>
      </c>
      <c r="AA128" s="2">
        <f t="shared" si="104"/>
        <v>0</v>
      </c>
      <c r="AB128" s="2">
        <f t="shared" si="104"/>
        <v>27047653.239999998</v>
      </c>
      <c r="AC128" s="2">
        <f t="shared" si="104"/>
        <v>594399.68999999994</v>
      </c>
      <c r="AD128" s="2">
        <f t="shared" si="104"/>
        <v>8999253.1799999997</v>
      </c>
      <c r="AE128" s="2">
        <f t="shared" si="104"/>
        <v>2992112.62</v>
      </c>
      <c r="AF128" s="2">
        <f t="shared" si="104"/>
        <v>17454000.370000001</v>
      </c>
      <c r="AG128" s="2">
        <f t="shared" si="104"/>
        <v>0</v>
      </c>
      <c r="AH128" s="2">
        <f t="shared" si="104"/>
        <v>37085.394700000004</v>
      </c>
      <c r="AI128" s="2">
        <f t="shared" si="104"/>
        <v>0</v>
      </c>
      <c r="AJ128" s="2">
        <f t="shared" si="104"/>
        <v>0</v>
      </c>
      <c r="AK128" s="2">
        <f t="shared" si="104"/>
        <v>12217800.279999999</v>
      </c>
      <c r="AL128" s="2">
        <f t="shared" si="104"/>
        <v>1745400.05</v>
      </c>
      <c r="AM128" s="2">
        <f t="shared" si="104"/>
        <v>0</v>
      </c>
      <c r="AN128" s="2">
        <f t="shared" si="104"/>
        <v>0</v>
      </c>
      <c r="AO128" s="2">
        <f t="shared" si="104"/>
        <v>0</v>
      </c>
      <c r="AP128" s="2">
        <f t="shared" si="104"/>
        <v>0</v>
      </c>
      <c r="AQ128" s="2">
        <f t="shared" si="104"/>
        <v>0</v>
      </c>
      <c r="AR128" s="2">
        <f t="shared" si="104"/>
        <v>44242335.210000001</v>
      </c>
      <c r="AS128" s="2">
        <f t="shared" si="104"/>
        <v>0</v>
      </c>
      <c r="AT128" s="2">
        <f t="shared" si="104"/>
        <v>0</v>
      </c>
      <c r="AU128" s="2">
        <f t="shared" ref="AU128:BZ128" si="105">AU148</f>
        <v>44242335.210000001</v>
      </c>
      <c r="AV128" s="2">
        <f t="shared" si="105"/>
        <v>594399.68999999994</v>
      </c>
      <c r="AW128" s="2">
        <f t="shared" si="105"/>
        <v>594399.68999999994</v>
      </c>
      <c r="AX128" s="2">
        <f t="shared" si="105"/>
        <v>0</v>
      </c>
      <c r="AY128" s="2">
        <f t="shared" si="105"/>
        <v>594399.68999999994</v>
      </c>
      <c r="AZ128" s="2">
        <f t="shared" si="105"/>
        <v>0</v>
      </c>
      <c r="BA128" s="2">
        <f t="shared" si="105"/>
        <v>0</v>
      </c>
      <c r="BB128" s="2">
        <f t="shared" si="105"/>
        <v>0</v>
      </c>
      <c r="BC128" s="2">
        <f t="shared" si="105"/>
        <v>0</v>
      </c>
      <c r="BD128" s="2">
        <f t="shared" si="105"/>
        <v>0</v>
      </c>
      <c r="BE128" s="2">
        <f t="shared" si="105"/>
        <v>0</v>
      </c>
      <c r="BF128" s="2">
        <f t="shared" si="105"/>
        <v>0</v>
      </c>
      <c r="BG128" s="2">
        <f t="shared" si="105"/>
        <v>0</v>
      </c>
      <c r="BH128" s="2">
        <f t="shared" si="105"/>
        <v>0</v>
      </c>
      <c r="BI128" s="2">
        <f t="shared" si="105"/>
        <v>0</v>
      </c>
      <c r="BJ128" s="2">
        <f t="shared" si="105"/>
        <v>0</v>
      </c>
      <c r="BK128" s="2">
        <f t="shared" si="105"/>
        <v>0</v>
      </c>
      <c r="BL128" s="2">
        <f t="shared" si="105"/>
        <v>0</v>
      </c>
      <c r="BM128" s="2">
        <f t="shared" si="105"/>
        <v>0</v>
      </c>
      <c r="BN128" s="2">
        <f t="shared" si="105"/>
        <v>0</v>
      </c>
      <c r="BO128" s="2">
        <f t="shared" si="105"/>
        <v>0</v>
      </c>
      <c r="BP128" s="2">
        <f t="shared" si="105"/>
        <v>0</v>
      </c>
      <c r="BQ128" s="2">
        <f t="shared" si="105"/>
        <v>0</v>
      </c>
      <c r="BR128" s="2">
        <f t="shared" si="105"/>
        <v>0</v>
      </c>
      <c r="BS128" s="2">
        <f t="shared" si="105"/>
        <v>0</v>
      </c>
      <c r="BT128" s="2">
        <f t="shared" si="105"/>
        <v>0</v>
      </c>
      <c r="BU128" s="2">
        <f t="shared" si="105"/>
        <v>0</v>
      </c>
      <c r="BV128" s="2">
        <f t="shared" si="105"/>
        <v>0</v>
      </c>
      <c r="BW128" s="2">
        <f t="shared" si="105"/>
        <v>0</v>
      </c>
      <c r="BX128" s="2">
        <f t="shared" si="105"/>
        <v>0</v>
      </c>
      <c r="BY128" s="2">
        <f t="shared" si="105"/>
        <v>0</v>
      </c>
      <c r="BZ128" s="2">
        <f t="shared" si="105"/>
        <v>0</v>
      </c>
      <c r="CA128" s="2">
        <f t="shared" ref="CA128:DF128" si="106">CA148</f>
        <v>44242335.210000001</v>
      </c>
      <c r="CB128" s="2">
        <f t="shared" si="106"/>
        <v>0</v>
      </c>
      <c r="CC128" s="2">
        <f t="shared" si="106"/>
        <v>0</v>
      </c>
      <c r="CD128" s="2">
        <f t="shared" si="106"/>
        <v>44242335.210000001</v>
      </c>
      <c r="CE128" s="2">
        <f t="shared" si="106"/>
        <v>594399.68999999994</v>
      </c>
      <c r="CF128" s="2">
        <f t="shared" si="106"/>
        <v>594399.68999999994</v>
      </c>
      <c r="CG128" s="2">
        <f t="shared" si="106"/>
        <v>0</v>
      </c>
      <c r="CH128" s="2">
        <f t="shared" si="106"/>
        <v>594399.68999999994</v>
      </c>
      <c r="CI128" s="2">
        <f t="shared" si="106"/>
        <v>0</v>
      </c>
      <c r="CJ128" s="2">
        <f t="shared" si="106"/>
        <v>0</v>
      </c>
      <c r="CK128" s="2">
        <f t="shared" si="106"/>
        <v>0</v>
      </c>
      <c r="CL128" s="2">
        <f t="shared" si="106"/>
        <v>0</v>
      </c>
      <c r="CM128" s="2">
        <f t="shared" si="106"/>
        <v>0</v>
      </c>
      <c r="CN128" s="2">
        <f t="shared" si="106"/>
        <v>0</v>
      </c>
      <c r="CO128" s="2">
        <f t="shared" si="106"/>
        <v>0</v>
      </c>
      <c r="CP128" s="2">
        <f t="shared" si="106"/>
        <v>0</v>
      </c>
      <c r="CQ128" s="2">
        <f t="shared" si="106"/>
        <v>0</v>
      </c>
      <c r="CR128" s="2">
        <f t="shared" si="106"/>
        <v>0</v>
      </c>
      <c r="CS128" s="2">
        <f t="shared" si="106"/>
        <v>0</v>
      </c>
      <c r="CT128" s="2">
        <f t="shared" si="106"/>
        <v>0</v>
      </c>
      <c r="CU128" s="2">
        <f t="shared" si="106"/>
        <v>0</v>
      </c>
      <c r="CV128" s="2">
        <f t="shared" si="106"/>
        <v>0</v>
      </c>
      <c r="CW128" s="2">
        <f t="shared" si="106"/>
        <v>0</v>
      </c>
      <c r="CX128" s="2">
        <f t="shared" si="106"/>
        <v>0</v>
      </c>
      <c r="CY128" s="2">
        <f t="shared" si="106"/>
        <v>0</v>
      </c>
      <c r="CZ128" s="2">
        <f t="shared" si="106"/>
        <v>0</v>
      </c>
      <c r="DA128" s="2">
        <f t="shared" si="106"/>
        <v>0</v>
      </c>
      <c r="DB128" s="2">
        <f t="shared" si="106"/>
        <v>0</v>
      </c>
      <c r="DC128" s="2">
        <f t="shared" si="106"/>
        <v>0</v>
      </c>
      <c r="DD128" s="2">
        <f t="shared" si="106"/>
        <v>0</v>
      </c>
      <c r="DE128" s="2">
        <f t="shared" si="106"/>
        <v>0</v>
      </c>
      <c r="DF128" s="2">
        <f t="shared" si="106"/>
        <v>0</v>
      </c>
      <c r="DG128" s="3">
        <f t="shared" ref="DG128:EL128" si="107">DG148</f>
        <v>0</v>
      </c>
      <c r="DH128" s="3">
        <f t="shared" si="107"/>
        <v>0</v>
      </c>
      <c r="DI128" s="3">
        <f t="shared" si="107"/>
        <v>0</v>
      </c>
      <c r="DJ128" s="3">
        <f t="shared" si="107"/>
        <v>0</v>
      </c>
      <c r="DK128" s="3">
        <f t="shared" si="107"/>
        <v>0</v>
      </c>
      <c r="DL128" s="3">
        <f t="shared" si="107"/>
        <v>0</v>
      </c>
      <c r="DM128" s="3">
        <f t="shared" si="107"/>
        <v>0</v>
      </c>
      <c r="DN128" s="3">
        <f t="shared" si="107"/>
        <v>0</v>
      </c>
      <c r="DO128" s="3">
        <f t="shared" si="107"/>
        <v>0</v>
      </c>
      <c r="DP128" s="3">
        <f t="shared" si="107"/>
        <v>0</v>
      </c>
      <c r="DQ128" s="3">
        <f t="shared" si="107"/>
        <v>0</v>
      </c>
      <c r="DR128" s="3">
        <f t="shared" si="107"/>
        <v>0</v>
      </c>
      <c r="DS128" s="3">
        <f t="shared" si="107"/>
        <v>0</v>
      </c>
      <c r="DT128" s="3">
        <f t="shared" si="107"/>
        <v>0</v>
      </c>
      <c r="DU128" s="3">
        <f t="shared" si="107"/>
        <v>0</v>
      </c>
      <c r="DV128" s="3">
        <f t="shared" si="107"/>
        <v>0</v>
      </c>
      <c r="DW128" s="3">
        <f t="shared" si="107"/>
        <v>0</v>
      </c>
      <c r="DX128" s="3">
        <f t="shared" si="107"/>
        <v>0</v>
      </c>
      <c r="DY128" s="3">
        <f t="shared" si="107"/>
        <v>0</v>
      </c>
      <c r="DZ128" s="3">
        <f t="shared" si="107"/>
        <v>0</v>
      </c>
      <c r="EA128" s="3">
        <f t="shared" si="107"/>
        <v>0</v>
      </c>
      <c r="EB128" s="3">
        <f t="shared" si="107"/>
        <v>0</v>
      </c>
      <c r="EC128" s="3">
        <f t="shared" si="107"/>
        <v>0</v>
      </c>
      <c r="ED128" s="3">
        <f t="shared" si="107"/>
        <v>0</v>
      </c>
      <c r="EE128" s="3">
        <f t="shared" si="107"/>
        <v>0</v>
      </c>
      <c r="EF128" s="3">
        <f t="shared" si="107"/>
        <v>0</v>
      </c>
      <c r="EG128" s="3">
        <f t="shared" si="107"/>
        <v>0</v>
      </c>
      <c r="EH128" s="3">
        <f t="shared" si="107"/>
        <v>0</v>
      </c>
      <c r="EI128" s="3">
        <f t="shared" si="107"/>
        <v>0</v>
      </c>
      <c r="EJ128" s="3">
        <f t="shared" si="107"/>
        <v>0</v>
      </c>
      <c r="EK128" s="3">
        <f t="shared" si="107"/>
        <v>0</v>
      </c>
      <c r="EL128" s="3">
        <f t="shared" si="107"/>
        <v>0</v>
      </c>
      <c r="EM128" s="3">
        <f t="shared" ref="EM128:FR128" si="108">EM148</f>
        <v>0</v>
      </c>
      <c r="EN128" s="3">
        <f t="shared" si="108"/>
        <v>0</v>
      </c>
      <c r="EO128" s="3">
        <f t="shared" si="108"/>
        <v>0</v>
      </c>
      <c r="EP128" s="3">
        <f t="shared" si="108"/>
        <v>0</v>
      </c>
      <c r="EQ128" s="3">
        <f t="shared" si="108"/>
        <v>0</v>
      </c>
      <c r="ER128" s="3">
        <f t="shared" si="108"/>
        <v>0</v>
      </c>
      <c r="ES128" s="3">
        <f t="shared" si="108"/>
        <v>0</v>
      </c>
      <c r="ET128" s="3">
        <f t="shared" si="108"/>
        <v>0</v>
      </c>
      <c r="EU128" s="3">
        <f t="shared" si="108"/>
        <v>0</v>
      </c>
      <c r="EV128" s="3">
        <f t="shared" si="108"/>
        <v>0</v>
      </c>
      <c r="EW128" s="3">
        <f t="shared" si="108"/>
        <v>0</v>
      </c>
      <c r="EX128" s="3">
        <f t="shared" si="108"/>
        <v>0</v>
      </c>
      <c r="EY128" s="3">
        <f t="shared" si="108"/>
        <v>0</v>
      </c>
      <c r="EZ128" s="3">
        <f t="shared" si="108"/>
        <v>0</v>
      </c>
      <c r="FA128" s="3">
        <f t="shared" si="108"/>
        <v>0</v>
      </c>
      <c r="FB128" s="3">
        <f t="shared" si="108"/>
        <v>0</v>
      </c>
      <c r="FC128" s="3">
        <f t="shared" si="108"/>
        <v>0</v>
      </c>
      <c r="FD128" s="3">
        <f t="shared" si="108"/>
        <v>0</v>
      </c>
      <c r="FE128" s="3">
        <f t="shared" si="108"/>
        <v>0</v>
      </c>
      <c r="FF128" s="3">
        <f t="shared" si="108"/>
        <v>0</v>
      </c>
      <c r="FG128" s="3">
        <f t="shared" si="108"/>
        <v>0</v>
      </c>
      <c r="FH128" s="3">
        <f t="shared" si="108"/>
        <v>0</v>
      </c>
      <c r="FI128" s="3">
        <f t="shared" si="108"/>
        <v>0</v>
      </c>
      <c r="FJ128" s="3">
        <f t="shared" si="108"/>
        <v>0</v>
      </c>
      <c r="FK128" s="3">
        <f t="shared" si="108"/>
        <v>0</v>
      </c>
      <c r="FL128" s="3">
        <f t="shared" si="108"/>
        <v>0</v>
      </c>
      <c r="FM128" s="3">
        <f t="shared" si="108"/>
        <v>0</v>
      </c>
      <c r="FN128" s="3">
        <f t="shared" si="108"/>
        <v>0</v>
      </c>
      <c r="FO128" s="3">
        <f t="shared" si="108"/>
        <v>0</v>
      </c>
      <c r="FP128" s="3">
        <f t="shared" si="108"/>
        <v>0</v>
      </c>
      <c r="FQ128" s="3">
        <f t="shared" si="108"/>
        <v>0</v>
      </c>
      <c r="FR128" s="3">
        <f t="shared" si="108"/>
        <v>0</v>
      </c>
      <c r="FS128" s="3">
        <f t="shared" ref="FS128:GX128" si="109">FS148</f>
        <v>0</v>
      </c>
      <c r="FT128" s="3">
        <f t="shared" si="109"/>
        <v>0</v>
      </c>
      <c r="FU128" s="3">
        <f t="shared" si="109"/>
        <v>0</v>
      </c>
      <c r="FV128" s="3">
        <f t="shared" si="109"/>
        <v>0</v>
      </c>
      <c r="FW128" s="3">
        <f t="shared" si="109"/>
        <v>0</v>
      </c>
      <c r="FX128" s="3">
        <f t="shared" si="109"/>
        <v>0</v>
      </c>
      <c r="FY128" s="3">
        <f t="shared" si="109"/>
        <v>0</v>
      </c>
      <c r="FZ128" s="3">
        <f t="shared" si="109"/>
        <v>0</v>
      </c>
      <c r="GA128" s="3">
        <f t="shared" si="109"/>
        <v>0</v>
      </c>
      <c r="GB128" s="3">
        <f t="shared" si="109"/>
        <v>0</v>
      </c>
      <c r="GC128" s="3">
        <f t="shared" si="109"/>
        <v>0</v>
      </c>
      <c r="GD128" s="3">
        <f t="shared" si="109"/>
        <v>0</v>
      </c>
      <c r="GE128" s="3">
        <f t="shared" si="109"/>
        <v>0</v>
      </c>
      <c r="GF128" s="3">
        <f t="shared" si="109"/>
        <v>0</v>
      </c>
      <c r="GG128" s="3">
        <f t="shared" si="109"/>
        <v>0</v>
      </c>
      <c r="GH128" s="3">
        <f t="shared" si="109"/>
        <v>0</v>
      </c>
      <c r="GI128" s="3">
        <f t="shared" si="109"/>
        <v>0</v>
      </c>
      <c r="GJ128" s="3">
        <f t="shared" si="109"/>
        <v>0</v>
      </c>
      <c r="GK128" s="3">
        <f t="shared" si="109"/>
        <v>0</v>
      </c>
      <c r="GL128" s="3">
        <f t="shared" si="109"/>
        <v>0</v>
      </c>
      <c r="GM128" s="3">
        <f t="shared" si="109"/>
        <v>0</v>
      </c>
      <c r="GN128" s="3">
        <f t="shared" si="109"/>
        <v>0</v>
      </c>
      <c r="GO128" s="3">
        <f t="shared" si="109"/>
        <v>0</v>
      </c>
      <c r="GP128" s="3">
        <f t="shared" si="109"/>
        <v>0</v>
      </c>
      <c r="GQ128" s="3">
        <f t="shared" si="109"/>
        <v>0</v>
      </c>
      <c r="GR128" s="3">
        <f t="shared" si="109"/>
        <v>0</v>
      </c>
      <c r="GS128" s="3">
        <f t="shared" si="109"/>
        <v>0</v>
      </c>
      <c r="GT128" s="3">
        <f t="shared" si="109"/>
        <v>0</v>
      </c>
      <c r="GU128" s="3">
        <f t="shared" si="109"/>
        <v>0</v>
      </c>
      <c r="GV128" s="3">
        <f t="shared" si="109"/>
        <v>0</v>
      </c>
      <c r="GW128" s="3">
        <f t="shared" si="109"/>
        <v>0</v>
      </c>
      <c r="GX128" s="3">
        <f t="shared" si="109"/>
        <v>0</v>
      </c>
    </row>
    <row r="130" spans="1:245" x14ac:dyDescent="0.25">
      <c r="A130">
        <v>17</v>
      </c>
      <c r="B130">
        <v>1</v>
      </c>
      <c r="C130">
        <f>ROW(SmtRes!A42)</f>
        <v>42</v>
      </c>
      <c r="D130">
        <f>ROW(EtalonRes!A42)</f>
        <v>42</v>
      </c>
      <c r="E130" t="s">
        <v>183</v>
      </c>
      <c r="F130" t="s">
        <v>184</v>
      </c>
      <c r="G130" t="s">
        <v>185</v>
      </c>
      <c r="H130" t="s">
        <v>29</v>
      </c>
      <c r="I130">
        <f>ROUND(30247.6/100,9)</f>
        <v>302.476</v>
      </c>
      <c r="J130">
        <v>0</v>
      </c>
      <c r="K130">
        <f>ROUND(30247.6/100,9)</f>
        <v>302.476</v>
      </c>
      <c r="O130">
        <f t="shared" ref="O130:O146" si="110">ROUND(CP130,2)</f>
        <v>165992.78</v>
      </c>
      <c r="P130">
        <f t="shared" ref="P130:P146" si="111">ROUND(CQ130*I130,2)</f>
        <v>0</v>
      </c>
      <c r="Q130">
        <f t="shared" ref="Q130:Q146" si="112">ROUND(CR130*I130,2)</f>
        <v>4258.8599999999997</v>
      </c>
      <c r="R130">
        <f t="shared" ref="R130:R146" si="113">ROUND(CS130*I130,2)</f>
        <v>42.35</v>
      </c>
      <c r="S130">
        <f t="shared" ref="S130:S146" si="114">ROUND(CT130*I130,2)</f>
        <v>161733.92000000001</v>
      </c>
      <c r="T130">
        <f t="shared" ref="T130:T146" si="115">ROUND(CU130*I130,2)</f>
        <v>0</v>
      </c>
      <c r="U130">
        <f t="shared" ref="U130:U146" si="116">CV130*I130</f>
        <v>356.92167999999998</v>
      </c>
      <c r="V130">
        <f t="shared" ref="V130:V146" si="117">CW130*I130</f>
        <v>0</v>
      </c>
      <c r="W130">
        <f t="shared" ref="W130:W146" si="118">ROUND(CX130*I130,2)</f>
        <v>0</v>
      </c>
      <c r="X130">
        <f t="shared" ref="X130:X146" si="119">ROUND(CY130,2)</f>
        <v>113213.74</v>
      </c>
      <c r="Y130">
        <f t="shared" ref="Y130:Y146" si="120">ROUND(CZ130,2)</f>
        <v>16173.39</v>
      </c>
      <c r="AA130">
        <v>80891185</v>
      </c>
      <c r="AB130">
        <f t="shared" ref="AB130:AB146" si="121">ROUND((AC130+AD130+AF130),6)</f>
        <v>548.78</v>
      </c>
      <c r="AC130">
        <f>ROUND(((ES130*2)),6)</f>
        <v>0</v>
      </c>
      <c r="AD130">
        <f>ROUND(((((ET130*2))-((EU130*2)))+AE130),6)</f>
        <v>14.08</v>
      </c>
      <c r="AE130">
        <f t="shared" ref="AE130:AF132" si="122">ROUND(((EU130*2)),6)</f>
        <v>0.14000000000000001</v>
      </c>
      <c r="AF130">
        <f t="shared" si="122"/>
        <v>534.70000000000005</v>
      </c>
      <c r="AG130">
        <f t="shared" ref="AG130:AG146" si="123">ROUND((AP130),6)</f>
        <v>0</v>
      </c>
      <c r="AH130">
        <f t="shared" ref="AH130:AI132" si="124">((EW130*2))</f>
        <v>1.18</v>
      </c>
      <c r="AI130">
        <f t="shared" si="124"/>
        <v>0</v>
      </c>
      <c r="AJ130">
        <f t="shared" ref="AJ130:AJ146" si="125">(AS130)</f>
        <v>0</v>
      </c>
      <c r="AK130">
        <v>274.39</v>
      </c>
      <c r="AL130">
        <v>0</v>
      </c>
      <c r="AM130">
        <v>7.04</v>
      </c>
      <c r="AN130">
        <v>7.0000000000000007E-2</v>
      </c>
      <c r="AO130">
        <v>267.35000000000002</v>
      </c>
      <c r="AP130">
        <v>0</v>
      </c>
      <c r="AQ130">
        <v>0.59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4</v>
      </c>
      <c r="BJ130" t="s">
        <v>186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ref="CP130:CP146" si="126">(P130+Q130+S130)</f>
        <v>165992.78</v>
      </c>
      <c r="CQ130">
        <f t="shared" ref="CQ130:CQ146" si="127">(AC130*BC130*AW130)</f>
        <v>0</v>
      </c>
      <c r="CR130">
        <f>(((((ET130*2))*BB130-((EU130*2))*BS130)+AE130*BS130)*AV130)</f>
        <v>14.08</v>
      </c>
      <c r="CS130">
        <f t="shared" ref="CS130:CS146" si="128">(AE130*BS130*AV130)</f>
        <v>0.14000000000000001</v>
      </c>
      <c r="CT130">
        <f t="shared" ref="CT130:CT146" si="129">(AF130*BA130*AV130)</f>
        <v>534.70000000000005</v>
      </c>
      <c r="CU130">
        <f t="shared" ref="CU130:CU146" si="130">AG130</f>
        <v>0</v>
      </c>
      <c r="CV130">
        <f t="shared" ref="CV130:CV146" si="131">(AH130*AV130)</f>
        <v>1.18</v>
      </c>
      <c r="CW130">
        <f t="shared" ref="CW130:CW146" si="132">AI130</f>
        <v>0</v>
      </c>
      <c r="CX130">
        <f t="shared" ref="CX130:CX146" si="133">AJ130</f>
        <v>0</v>
      </c>
      <c r="CY130">
        <f t="shared" ref="CY130:CY146" si="134">((S130*BZ130)/100)</f>
        <v>113213.74400000001</v>
      </c>
      <c r="CZ130">
        <f t="shared" ref="CZ130:CZ146" si="135">((S130*CA130)/100)</f>
        <v>16173.392000000002</v>
      </c>
      <c r="DC130" t="s">
        <v>3</v>
      </c>
      <c r="DD130" t="s">
        <v>181</v>
      </c>
      <c r="DE130" t="s">
        <v>181</v>
      </c>
      <c r="DF130" t="s">
        <v>181</v>
      </c>
      <c r="DG130" t="s">
        <v>181</v>
      </c>
      <c r="DH130" t="s">
        <v>3</v>
      </c>
      <c r="DI130" t="s">
        <v>181</v>
      </c>
      <c r="DJ130" t="s">
        <v>181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1005</v>
      </c>
      <c r="DV130" t="s">
        <v>29</v>
      </c>
      <c r="DW130" t="s">
        <v>29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80196140</v>
      </c>
      <c r="EF130">
        <v>1</v>
      </c>
      <c r="EG130" t="s">
        <v>23</v>
      </c>
      <c r="EH130">
        <v>0</v>
      </c>
      <c r="EI130" t="s">
        <v>3</v>
      </c>
      <c r="EJ130">
        <v>4</v>
      </c>
      <c r="EK130">
        <v>0</v>
      </c>
      <c r="EL130" t="s">
        <v>24</v>
      </c>
      <c r="EM130" t="s">
        <v>25</v>
      </c>
      <c r="EO130" t="s">
        <v>3</v>
      </c>
      <c r="EQ130">
        <v>0</v>
      </c>
      <c r="ER130">
        <v>274.39</v>
      </c>
      <c r="ES130">
        <v>0</v>
      </c>
      <c r="ET130">
        <v>7.04</v>
      </c>
      <c r="EU130">
        <v>7.0000000000000007E-2</v>
      </c>
      <c r="EV130">
        <v>267.35000000000002</v>
      </c>
      <c r="EW130">
        <v>0.59</v>
      </c>
      <c r="EX130">
        <v>0</v>
      </c>
      <c r="EY130">
        <v>0</v>
      </c>
      <c r="FQ130">
        <v>0</v>
      </c>
      <c r="FR130"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-1162331486</v>
      </c>
      <c r="GG130">
        <v>2</v>
      </c>
      <c r="GH130">
        <v>1</v>
      </c>
      <c r="GI130">
        <v>-2</v>
      </c>
      <c r="GJ130">
        <v>0</v>
      </c>
      <c r="GK130">
        <f>ROUND(R130*(R12)/100,2)</f>
        <v>45.74</v>
      </c>
      <c r="GL130">
        <f t="shared" ref="GL130:GL146" si="136">ROUND(IF(AND(BH130=3,BI130=3,FS130&lt;&gt;0),P130,0),2)</f>
        <v>0</v>
      </c>
      <c r="GM130">
        <f t="shared" ref="GM130:GM146" si="137">ROUND(O130+X130+Y130+GK130,2)+GX130</f>
        <v>295425.65000000002</v>
      </c>
      <c r="GN130">
        <f t="shared" ref="GN130:GN146" si="138">IF(OR(BI130=0,BI130=1),GM130-GX130,0)</f>
        <v>0</v>
      </c>
      <c r="GO130">
        <f t="shared" ref="GO130:GO146" si="139">IF(BI130=2,GM130-GX130,0)</f>
        <v>0</v>
      </c>
      <c r="GP130">
        <f t="shared" ref="GP130:GP146" si="140">IF(BI130=4,GM130-GX130,0)</f>
        <v>295425.65000000002</v>
      </c>
      <c r="GR130">
        <v>0</v>
      </c>
      <c r="GS130">
        <v>3</v>
      </c>
      <c r="GT130">
        <v>0</v>
      </c>
      <c r="GU130" t="s">
        <v>3</v>
      </c>
      <c r="GV130">
        <f t="shared" ref="GV130:GV146" si="141">ROUND((GT130),6)</f>
        <v>0</v>
      </c>
      <c r="GW130">
        <v>1</v>
      </c>
      <c r="GX130">
        <f t="shared" ref="GX130:GX146" si="142">ROUND(HC130*I130,2)</f>
        <v>0</v>
      </c>
      <c r="HA130">
        <v>0</v>
      </c>
      <c r="HB130">
        <v>0</v>
      </c>
      <c r="HC130">
        <f t="shared" ref="HC130:HC146" si="143">GV130*GW130</f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HS130">
        <v>0</v>
      </c>
      <c r="IK130">
        <v>0</v>
      </c>
    </row>
    <row r="131" spans="1:245" x14ac:dyDescent="0.25">
      <c r="A131">
        <v>17</v>
      </c>
      <c r="B131">
        <v>1</v>
      </c>
      <c r="C131">
        <f>ROW(SmtRes!A43)</f>
        <v>43</v>
      </c>
      <c r="D131">
        <f>ROW(EtalonRes!A43)</f>
        <v>43</v>
      </c>
      <c r="E131" t="s">
        <v>187</v>
      </c>
      <c r="F131" t="s">
        <v>188</v>
      </c>
      <c r="G131" t="s">
        <v>189</v>
      </c>
      <c r="H131" t="s">
        <v>29</v>
      </c>
      <c r="I131">
        <f>ROUND(15123.8/100,9)</f>
        <v>151.238</v>
      </c>
      <c r="J131">
        <v>0</v>
      </c>
      <c r="K131">
        <f>ROUND(15123.8/100,9)</f>
        <v>151.238</v>
      </c>
      <c r="O131">
        <f t="shared" si="110"/>
        <v>219301.15</v>
      </c>
      <c r="P131">
        <f t="shared" si="111"/>
        <v>0</v>
      </c>
      <c r="Q131">
        <f t="shared" si="112"/>
        <v>0</v>
      </c>
      <c r="R131">
        <f t="shared" si="113"/>
        <v>0</v>
      </c>
      <c r="S131">
        <f t="shared" si="114"/>
        <v>219301.15</v>
      </c>
      <c r="T131">
        <f t="shared" si="115"/>
        <v>0</v>
      </c>
      <c r="U131">
        <f t="shared" si="116"/>
        <v>483.96160000000003</v>
      </c>
      <c r="V131">
        <f t="shared" si="117"/>
        <v>0</v>
      </c>
      <c r="W131">
        <f t="shared" si="118"/>
        <v>0</v>
      </c>
      <c r="X131">
        <f t="shared" si="119"/>
        <v>153510.81</v>
      </c>
      <c r="Y131">
        <f t="shared" si="120"/>
        <v>21930.12</v>
      </c>
      <c r="AA131">
        <v>80891185</v>
      </c>
      <c r="AB131">
        <f t="shared" si="121"/>
        <v>1450.04</v>
      </c>
      <c r="AC131">
        <f>ROUND(((ES131*2)),6)</f>
        <v>0</v>
      </c>
      <c r="AD131">
        <f>ROUND(((((ET131*2))-((EU131*2)))+AE131),6)</f>
        <v>0</v>
      </c>
      <c r="AE131">
        <f t="shared" si="122"/>
        <v>0</v>
      </c>
      <c r="AF131">
        <f t="shared" si="122"/>
        <v>1450.04</v>
      </c>
      <c r="AG131">
        <f t="shared" si="123"/>
        <v>0</v>
      </c>
      <c r="AH131">
        <f t="shared" si="124"/>
        <v>3.2</v>
      </c>
      <c r="AI131">
        <f t="shared" si="124"/>
        <v>0</v>
      </c>
      <c r="AJ131">
        <f t="shared" si="125"/>
        <v>0</v>
      </c>
      <c r="AK131">
        <v>725.02</v>
      </c>
      <c r="AL131">
        <v>0</v>
      </c>
      <c r="AM131">
        <v>0</v>
      </c>
      <c r="AN131">
        <v>0</v>
      </c>
      <c r="AO131">
        <v>725.02</v>
      </c>
      <c r="AP131">
        <v>0</v>
      </c>
      <c r="AQ131">
        <v>1.6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4</v>
      </c>
      <c r="BJ131" t="s">
        <v>190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26"/>
        <v>219301.15</v>
      </c>
      <c r="CQ131">
        <f t="shared" si="127"/>
        <v>0</v>
      </c>
      <c r="CR131">
        <f>(((((ET131*2))*BB131-((EU131*2))*BS131)+AE131*BS131)*AV131)</f>
        <v>0</v>
      </c>
      <c r="CS131">
        <f t="shared" si="128"/>
        <v>0</v>
      </c>
      <c r="CT131">
        <f t="shared" si="129"/>
        <v>1450.04</v>
      </c>
      <c r="CU131">
        <f t="shared" si="130"/>
        <v>0</v>
      </c>
      <c r="CV131">
        <f t="shared" si="131"/>
        <v>3.2</v>
      </c>
      <c r="CW131">
        <f t="shared" si="132"/>
        <v>0</v>
      </c>
      <c r="CX131">
        <f t="shared" si="133"/>
        <v>0</v>
      </c>
      <c r="CY131">
        <f t="shared" si="134"/>
        <v>153510.80499999999</v>
      </c>
      <c r="CZ131">
        <f t="shared" si="135"/>
        <v>21930.115000000002</v>
      </c>
      <c r="DC131" t="s">
        <v>3</v>
      </c>
      <c r="DD131" t="s">
        <v>181</v>
      </c>
      <c r="DE131" t="s">
        <v>181</v>
      </c>
      <c r="DF131" t="s">
        <v>181</v>
      </c>
      <c r="DG131" t="s">
        <v>181</v>
      </c>
      <c r="DH131" t="s">
        <v>3</v>
      </c>
      <c r="DI131" t="s">
        <v>181</v>
      </c>
      <c r="DJ131" t="s">
        <v>181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1005</v>
      </c>
      <c r="DV131" t="s">
        <v>29</v>
      </c>
      <c r="DW131" t="s">
        <v>29</v>
      </c>
      <c r="DX131">
        <v>100</v>
      </c>
      <c r="DZ131" t="s">
        <v>3</v>
      </c>
      <c r="EA131" t="s">
        <v>3</v>
      </c>
      <c r="EB131" t="s">
        <v>3</v>
      </c>
      <c r="EC131" t="s">
        <v>3</v>
      </c>
      <c r="EE131">
        <v>80196140</v>
      </c>
      <c r="EF131">
        <v>1</v>
      </c>
      <c r="EG131" t="s">
        <v>23</v>
      </c>
      <c r="EH131">
        <v>0</v>
      </c>
      <c r="EI131" t="s">
        <v>3</v>
      </c>
      <c r="EJ131">
        <v>4</v>
      </c>
      <c r="EK131">
        <v>0</v>
      </c>
      <c r="EL131" t="s">
        <v>24</v>
      </c>
      <c r="EM131" t="s">
        <v>25</v>
      </c>
      <c r="EO131" t="s">
        <v>3</v>
      </c>
      <c r="EQ131">
        <v>0</v>
      </c>
      <c r="ER131">
        <v>725.02</v>
      </c>
      <c r="ES131">
        <v>0</v>
      </c>
      <c r="ET131">
        <v>0</v>
      </c>
      <c r="EU131">
        <v>0</v>
      </c>
      <c r="EV131">
        <v>725.02</v>
      </c>
      <c r="EW131">
        <v>1.6</v>
      </c>
      <c r="EX131">
        <v>0</v>
      </c>
      <c r="EY131">
        <v>0</v>
      </c>
      <c r="FQ131">
        <v>0</v>
      </c>
      <c r="FR131"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-2048109836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si="136"/>
        <v>0</v>
      </c>
      <c r="GM131">
        <f t="shared" si="137"/>
        <v>394742.08</v>
      </c>
      <c r="GN131">
        <f t="shared" si="138"/>
        <v>0</v>
      </c>
      <c r="GO131">
        <f t="shared" si="139"/>
        <v>0</v>
      </c>
      <c r="GP131">
        <f t="shared" si="140"/>
        <v>394742.08</v>
      </c>
      <c r="GR131">
        <v>0</v>
      </c>
      <c r="GS131">
        <v>3</v>
      </c>
      <c r="GT131">
        <v>0</v>
      </c>
      <c r="GU131" t="s">
        <v>3</v>
      </c>
      <c r="GV131">
        <f t="shared" si="141"/>
        <v>0</v>
      </c>
      <c r="GW131">
        <v>1</v>
      </c>
      <c r="GX131">
        <f t="shared" si="142"/>
        <v>0</v>
      </c>
      <c r="HA131">
        <v>0</v>
      </c>
      <c r="HB131">
        <v>0</v>
      </c>
      <c r="HC131">
        <f t="shared" si="143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HS131">
        <v>0</v>
      </c>
      <c r="IK131">
        <v>0</v>
      </c>
    </row>
    <row r="132" spans="1:245" x14ac:dyDescent="0.25">
      <c r="A132">
        <v>17</v>
      </c>
      <c r="B132">
        <v>1</v>
      </c>
      <c r="C132">
        <f>ROW(SmtRes!A46)</f>
        <v>46</v>
      </c>
      <c r="D132">
        <f>ROW(EtalonRes!A46)</f>
        <v>46</v>
      </c>
      <c r="E132" t="s">
        <v>191</v>
      </c>
      <c r="F132" t="s">
        <v>192</v>
      </c>
      <c r="G132" t="s">
        <v>193</v>
      </c>
      <c r="H132" t="s">
        <v>39</v>
      </c>
      <c r="I132">
        <v>226.857</v>
      </c>
      <c r="J132">
        <v>0</v>
      </c>
      <c r="K132">
        <v>226.857</v>
      </c>
      <c r="O132">
        <f t="shared" si="110"/>
        <v>300703.49</v>
      </c>
      <c r="P132">
        <f t="shared" si="111"/>
        <v>33030.379999999997</v>
      </c>
      <c r="Q132">
        <f t="shared" si="112"/>
        <v>157289.03</v>
      </c>
      <c r="R132">
        <f t="shared" si="113"/>
        <v>68002.649999999994</v>
      </c>
      <c r="S132">
        <f t="shared" si="114"/>
        <v>110384.08</v>
      </c>
      <c r="T132">
        <f t="shared" si="115"/>
        <v>0</v>
      </c>
      <c r="U132">
        <f t="shared" si="116"/>
        <v>217.78271999999998</v>
      </c>
      <c r="V132">
        <f t="shared" si="117"/>
        <v>0</v>
      </c>
      <c r="W132">
        <f t="shared" si="118"/>
        <v>0</v>
      </c>
      <c r="X132">
        <f t="shared" si="119"/>
        <v>77268.86</v>
      </c>
      <c r="Y132">
        <f t="shared" si="120"/>
        <v>11038.41</v>
      </c>
      <c r="AA132">
        <v>80891185</v>
      </c>
      <c r="AB132">
        <f t="shared" si="121"/>
        <v>1325.52</v>
      </c>
      <c r="AC132">
        <f>ROUND(((ES132*2)),6)</f>
        <v>145.6</v>
      </c>
      <c r="AD132">
        <f>ROUND(((((ET132*2))-((EU132*2)))+AE132),6)</f>
        <v>693.34</v>
      </c>
      <c r="AE132">
        <f t="shared" si="122"/>
        <v>299.76</v>
      </c>
      <c r="AF132">
        <f t="shared" si="122"/>
        <v>486.58</v>
      </c>
      <c r="AG132">
        <f t="shared" si="123"/>
        <v>0</v>
      </c>
      <c r="AH132">
        <f t="shared" si="124"/>
        <v>0.96</v>
      </c>
      <c r="AI132">
        <f t="shared" si="124"/>
        <v>0</v>
      </c>
      <c r="AJ132">
        <f t="shared" si="125"/>
        <v>0</v>
      </c>
      <c r="AK132">
        <v>662.76</v>
      </c>
      <c r="AL132">
        <v>72.8</v>
      </c>
      <c r="AM132">
        <v>346.67</v>
      </c>
      <c r="AN132">
        <v>149.88</v>
      </c>
      <c r="AO132">
        <v>243.29</v>
      </c>
      <c r="AP132">
        <v>0</v>
      </c>
      <c r="AQ132">
        <v>0.48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194</v>
      </c>
      <c r="BM132">
        <v>0</v>
      </c>
      <c r="BN132">
        <v>0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26"/>
        <v>300703.49</v>
      </c>
      <c r="CQ132">
        <f t="shared" si="127"/>
        <v>145.6</v>
      </c>
      <c r="CR132">
        <f>(((((ET132*2))*BB132-((EU132*2))*BS132)+AE132*BS132)*AV132)</f>
        <v>693.34</v>
      </c>
      <c r="CS132">
        <f t="shared" si="128"/>
        <v>299.76</v>
      </c>
      <c r="CT132">
        <f t="shared" si="129"/>
        <v>486.58</v>
      </c>
      <c r="CU132">
        <f t="shared" si="130"/>
        <v>0</v>
      </c>
      <c r="CV132">
        <f t="shared" si="131"/>
        <v>0.96</v>
      </c>
      <c r="CW132">
        <f t="shared" si="132"/>
        <v>0</v>
      </c>
      <c r="CX132">
        <f t="shared" si="133"/>
        <v>0</v>
      </c>
      <c r="CY132">
        <f t="shared" si="134"/>
        <v>77268.856</v>
      </c>
      <c r="CZ132">
        <f t="shared" si="135"/>
        <v>11038.408000000001</v>
      </c>
      <c r="DC132" t="s">
        <v>3</v>
      </c>
      <c r="DD132" t="s">
        <v>181</v>
      </c>
      <c r="DE132" t="s">
        <v>181</v>
      </c>
      <c r="DF132" t="s">
        <v>181</v>
      </c>
      <c r="DG132" t="s">
        <v>181</v>
      </c>
      <c r="DH132" t="s">
        <v>3</v>
      </c>
      <c r="DI132" t="s">
        <v>181</v>
      </c>
      <c r="DJ132" t="s">
        <v>181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1007</v>
      </c>
      <c r="DV132" t="s">
        <v>39</v>
      </c>
      <c r="DW132" t="s">
        <v>39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80196140</v>
      </c>
      <c r="EF132">
        <v>1</v>
      </c>
      <c r="EG132" t="s">
        <v>23</v>
      </c>
      <c r="EH132">
        <v>0</v>
      </c>
      <c r="EI132" t="s">
        <v>3</v>
      </c>
      <c r="EJ132">
        <v>4</v>
      </c>
      <c r="EK132">
        <v>0</v>
      </c>
      <c r="EL132" t="s">
        <v>24</v>
      </c>
      <c r="EM132" t="s">
        <v>25</v>
      </c>
      <c r="EO132" t="s">
        <v>3</v>
      </c>
      <c r="EQ132">
        <v>0</v>
      </c>
      <c r="ER132">
        <v>662.76</v>
      </c>
      <c r="ES132">
        <v>72.8</v>
      </c>
      <c r="ET132">
        <v>346.67</v>
      </c>
      <c r="EU132">
        <v>149.88</v>
      </c>
      <c r="EV132">
        <v>243.29</v>
      </c>
      <c r="EW132">
        <v>0.48</v>
      </c>
      <c r="EX132">
        <v>0</v>
      </c>
      <c r="EY132">
        <v>0</v>
      </c>
      <c r="FQ132">
        <v>0</v>
      </c>
      <c r="FR132"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-1887195014</v>
      </c>
      <c r="GG132">
        <v>2</v>
      </c>
      <c r="GH132">
        <v>1</v>
      </c>
      <c r="GI132">
        <v>-2</v>
      </c>
      <c r="GJ132">
        <v>0</v>
      </c>
      <c r="GK132">
        <f>ROUND(R132*(R12)/100,2)</f>
        <v>73442.86</v>
      </c>
      <c r="GL132">
        <f t="shared" si="136"/>
        <v>0</v>
      </c>
      <c r="GM132">
        <f t="shared" si="137"/>
        <v>462453.62</v>
      </c>
      <c r="GN132">
        <f t="shared" si="138"/>
        <v>0</v>
      </c>
      <c r="GO132">
        <f t="shared" si="139"/>
        <v>0</v>
      </c>
      <c r="GP132">
        <f t="shared" si="140"/>
        <v>462453.62</v>
      </c>
      <c r="GR132">
        <v>0</v>
      </c>
      <c r="GS132">
        <v>3</v>
      </c>
      <c r="GT132">
        <v>0</v>
      </c>
      <c r="GU132" t="s">
        <v>3</v>
      </c>
      <c r="GV132">
        <f t="shared" si="141"/>
        <v>0</v>
      </c>
      <c r="GW132">
        <v>1</v>
      </c>
      <c r="GX132">
        <f t="shared" si="142"/>
        <v>0</v>
      </c>
      <c r="HA132">
        <v>0</v>
      </c>
      <c r="HB132">
        <v>0</v>
      </c>
      <c r="HC132">
        <f t="shared" si="143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HS132">
        <v>0</v>
      </c>
      <c r="IK132">
        <v>0</v>
      </c>
    </row>
    <row r="133" spans="1:245" x14ac:dyDescent="0.25">
      <c r="A133">
        <v>17</v>
      </c>
      <c r="B133">
        <v>1</v>
      </c>
      <c r="C133">
        <f>ROW(SmtRes!A48)</f>
        <v>48</v>
      </c>
      <c r="D133">
        <f>ROW(EtalonRes!A48)</f>
        <v>48</v>
      </c>
      <c r="E133" t="s">
        <v>195</v>
      </c>
      <c r="F133" t="s">
        <v>196</v>
      </c>
      <c r="G133" t="s">
        <v>197</v>
      </c>
      <c r="H133" t="s">
        <v>29</v>
      </c>
      <c r="I133">
        <f>ROUND(36082.2/100,9)</f>
        <v>360.822</v>
      </c>
      <c r="J133">
        <v>0</v>
      </c>
      <c r="K133">
        <f>ROUND(36082.2/100,9)</f>
        <v>360.822</v>
      </c>
      <c r="O133">
        <f t="shared" si="110"/>
        <v>1692410.34</v>
      </c>
      <c r="P133">
        <f t="shared" si="111"/>
        <v>65341.26</v>
      </c>
      <c r="Q133">
        <f t="shared" si="112"/>
        <v>0</v>
      </c>
      <c r="R133">
        <f t="shared" si="113"/>
        <v>0</v>
      </c>
      <c r="S133">
        <f t="shared" si="114"/>
        <v>1627069.08</v>
      </c>
      <c r="T133">
        <f t="shared" si="115"/>
        <v>0</v>
      </c>
      <c r="U133">
        <f t="shared" si="116"/>
        <v>3590.1789000000003</v>
      </c>
      <c r="V133">
        <f t="shared" si="117"/>
        <v>0</v>
      </c>
      <c r="W133">
        <f t="shared" si="118"/>
        <v>0</v>
      </c>
      <c r="X133">
        <f t="shared" si="119"/>
        <v>1138948.3600000001</v>
      </c>
      <c r="Y133">
        <f t="shared" si="120"/>
        <v>162706.91</v>
      </c>
      <c r="AA133">
        <v>80891185</v>
      </c>
      <c r="AB133">
        <f t="shared" si="121"/>
        <v>4690.43</v>
      </c>
      <c r="AC133">
        <f>ROUND(((ES133*199)),6)</f>
        <v>181.09</v>
      </c>
      <c r="AD133">
        <f>ROUND(((((ET133*199))-((EU133*199)))+AE133),6)</f>
        <v>0</v>
      </c>
      <c r="AE133">
        <f>ROUND(((EU133*199)),6)</f>
        <v>0</v>
      </c>
      <c r="AF133">
        <f>ROUND(((EV133*199)),6)</f>
        <v>4509.34</v>
      </c>
      <c r="AG133">
        <f t="shared" si="123"/>
        <v>0</v>
      </c>
      <c r="AH133">
        <f>((EW133*199))</f>
        <v>9.9500000000000011</v>
      </c>
      <c r="AI133">
        <f>((EX133*199))</f>
        <v>0</v>
      </c>
      <c r="AJ133">
        <f t="shared" si="125"/>
        <v>0</v>
      </c>
      <c r="AK133">
        <v>23.57</v>
      </c>
      <c r="AL133">
        <v>0.91</v>
      </c>
      <c r="AM133">
        <v>0</v>
      </c>
      <c r="AN133">
        <v>0</v>
      </c>
      <c r="AO133">
        <v>22.66</v>
      </c>
      <c r="AP133">
        <v>0</v>
      </c>
      <c r="AQ133">
        <v>0.05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198</v>
      </c>
      <c r="BM133">
        <v>0</v>
      </c>
      <c r="BN133">
        <v>0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26"/>
        <v>1692410.34</v>
      </c>
      <c r="CQ133">
        <f t="shared" si="127"/>
        <v>181.09</v>
      </c>
      <c r="CR133">
        <f>(((((ET133*199))*BB133-((EU133*199))*BS133)+AE133*BS133)*AV133)</f>
        <v>0</v>
      </c>
      <c r="CS133">
        <f t="shared" si="128"/>
        <v>0</v>
      </c>
      <c r="CT133">
        <f t="shared" si="129"/>
        <v>4509.34</v>
      </c>
      <c r="CU133">
        <f t="shared" si="130"/>
        <v>0</v>
      </c>
      <c r="CV133">
        <f t="shared" si="131"/>
        <v>9.9500000000000011</v>
      </c>
      <c r="CW133">
        <f t="shared" si="132"/>
        <v>0</v>
      </c>
      <c r="CX133">
        <f t="shared" si="133"/>
        <v>0</v>
      </c>
      <c r="CY133">
        <f t="shared" si="134"/>
        <v>1138948.3560000001</v>
      </c>
      <c r="CZ133">
        <f t="shared" si="135"/>
        <v>162706.908</v>
      </c>
      <c r="DC133" t="s">
        <v>3</v>
      </c>
      <c r="DD133" t="s">
        <v>176</v>
      </c>
      <c r="DE133" t="s">
        <v>176</v>
      </c>
      <c r="DF133" t="s">
        <v>176</v>
      </c>
      <c r="DG133" t="s">
        <v>176</v>
      </c>
      <c r="DH133" t="s">
        <v>3</v>
      </c>
      <c r="DI133" t="s">
        <v>176</v>
      </c>
      <c r="DJ133" t="s">
        <v>176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1005</v>
      </c>
      <c r="DV133" t="s">
        <v>29</v>
      </c>
      <c r="DW133" t="s">
        <v>29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80196140</v>
      </c>
      <c r="EF133">
        <v>1</v>
      </c>
      <c r="EG133" t="s">
        <v>23</v>
      </c>
      <c r="EH133">
        <v>0</v>
      </c>
      <c r="EI133" t="s">
        <v>3</v>
      </c>
      <c r="EJ133">
        <v>4</v>
      </c>
      <c r="EK133">
        <v>0</v>
      </c>
      <c r="EL133" t="s">
        <v>24</v>
      </c>
      <c r="EM133" t="s">
        <v>25</v>
      </c>
      <c r="EO133" t="s">
        <v>3</v>
      </c>
      <c r="EQ133">
        <v>0</v>
      </c>
      <c r="ER133">
        <v>23.57</v>
      </c>
      <c r="ES133">
        <v>0.91</v>
      </c>
      <c r="ET133">
        <v>0</v>
      </c>
      <c r="EU133">
        <v>0</v>
      </c>
      <c r="EV133">
        <v>22.66</v>
      </c>
      <c r="EW133">
        <v>0.05</v>
      </c>
      <c r="EX133">
        <v>0</v>
      </c>
      <c r="EY133">
        <v>0</v>
      </c>
      <c r="FQ133">
        <v>0</v>
      </c>
      <c r="FR133"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1005512256</v>
      </c>
      <c r="GG133">
        <v>2</v>
      </c>
      <c r="GH133">
        <v>1</v>
      </c>
      <c r="GI133">
        <v>-2</v>
      </c>
      <c r="GJ133">
        <v>0</v>
      </c>
      <c r="GK133">
        <f>ROUND(R133*(R12)/100,2)</f>
        <v>0</v>
      </c>
      <c r="GL133">
        <f t="shared" si="136"/>
        <v>0</v>
      </c>
      <c r="GM133">
        <f t="shared" si="137"/>
        <v>2994065.61</v>
      </c>
      <c r="GN133">
        <f t="shared" si="138"/>
        <v>0</v>
      </c>
      <c r="GO133">
        <f t="shared" si="139"/>
        <v>0</v>
      </c>
      <c r="GP133">
        <f t="shared" si="140"/>
        <v>2994065.61</v>
      </c>
      <c r="GR133">
        <v>0</v>
      </c>
      <c r="GS133">
        <v>3</v>
      </c>
      <c r="GT133">
        <v>0</v>
      </c>
      <c r="GU133" t="s">
        <v>3</v>
      </c>
      <c r="GV133">
        <f t="shared" si="141"/>
        <v>0</v>
      </c>
      <c r="GW133">
        <v>1</v>
      </c>
      <c r="GX133">
        <f t="shared" si="142"/>
        <v>0</v>
      </c>
      <c r="HA133">
        <v>0</v>
      </c>
      <c r="HB133">
        <v>0</v>
      </c>
      <c r="HC133">
        <f t="shared" si="143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HS133">
        <v>0</v>
      </c>
      <c r="IK133">
        <v>0</v>
      </c>
    </row>
    <row r="134" spans="1:245" x14ac:dyDescent="0.25">
      <c r="A134">
        <v>17</v>
      </c>
      <c r="B134">
        <v>1</v>
      </c>
      <c r="C134">
        <f>ROW(SmtRes!A50)</f>
        <v>50</v>
      </c>
      <c r="D134">
        <f>ROW(EtalonRes!A50)</f>
        <v>50</v>
      </c>
      <c r="E134" t="s">
        <v>199</v>
      </c>
      <c r="F134" t="s">
        <v>200</v>
      </c>
      <c r="G134" t="s">
        <v>201</v>
      </c>
      <c r="H134" t="s">
        <v>29</v>
      </c>
      <c r="I134">
        <f>ROUND(151238/100,9)</f>
        <v>1512.38</v>
      </c>
      <c r="J134">
        <v>0</v>
      </c>
      <c r="K134">
        <f>ROUND(151238/100,9)</f>
        <v>1512.38</v>
      </c>
      <c r="O134">
        <f t="shared" si="110"/>
        <v>10031495.550000001</v>
      </c>
      <c r="P134">
        <f t="shared" si="111"/>
        <v>0</v>
      </c>
      <c r="Q134">
        <f t="shared" si="112"/>
        <v>517475.94</v>
      </c>
      <c r="R134">
        <f t="shared" si="113"/>
        <v>52086.37</v>
      </c>
      <c r="S134">
        <f t="shared" si="114"/>
        <v>9514019.6099999994</v>
      </c>
      <c r="T134">
        <f t="shared" si="115"/>
        <v>0</v>
      </c>
      <c r="U134">
        <f t="shared" si="116"/>
        <v>20749.853599999999</v>
      </c>
      <c r="V134">
        <f t="shared" si="117"/>
        <v>0</v>
      </c>
      <c r="W134">
        <f t="shared" si="118"/>
        <v>0</v>
      </c>
      <c r="X134">
        <f t="shared" si="119"/>
        <v>6659813.7300000004</v>
      </c>
      <c r="Y134">
        <f t="shared" si="120"/>
        <v>951401.96</v>
      </c>
      <c r="AA134">
        <v>80891185</v>
      </c>
      <c r="AB134">
        <f t="shared" si="121"/>
        <v>6632.92</v>
      </c>
      <c r="AC134">
        <f>ROUND(((ES134*14)),6)</f>
        <v>0</v>
      </c>
      <c r="AD134">
        <f>ROUND(((((ET134*14))-((EU134*14)))+AE134),6)</f>
        <v>342.16</v>
      </c>
      <c r="AE134">
        <f>ROUND(((EU134*14)),6)</f>
        <v>34.44</v>
      </c>
      <c r="AF134">
        <f>ROUND(((EV134*14)),6)</f>
        <v>6290.76</v>
      </c>
      <c r="AG134">
        <f t="shared" si="123"/>
        <v>0</v>
      </c>
      <c r="AH134">
        <f>((EW134*14))</f>
        <v>13.719999999999999</v>
      </c>
      <c r="AI134">
        <f>((EX134*14))</f>
        <v>0</v>
      </c>
      <c r="AJ134">
        <f t="shared" si="125"/>
        <v>0</v>
      </c>
      <c r="AK134">
        <v>473.78</v>
      </c>
      <c r="AL134">
        <v>0</v>
      </c>
      <c r="AM134">
        <v>24.44</v>
      </c>
      <c r="AN134">
        <v>2.46</v>
      </c>
      <c r="AO134">
        <v>449.34</v>
      </c>
      <c r="AP134">
        <v>0</v>
      </c>
      <c r="AQ134">
        <v>0.98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202</v>
      </c>
      <c r="BM134">
        <v>0</v>
      </c>
      <c r="BN134">
        <v>0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26"/>
        <v>10031495.549999999</v>
      </c>
      <c r="CQ134">
        <f t="shared" si="127"/>
        <v>0</v>
      </c>
      <c r="CR134">
        <f>(((((ET134*14))*BB134-((EU134*14))*BS134)+AE134*BS134)*AV134)</f>
        <v>342.16</v>
      </c>
      <c r="CS134">
        <f t="shared" si="128"/>
        <v>34.44</v>
      </c>
      <c r="CT134">
        <f t="shared" si="129"/>
        <v>6290.76</v>
      </c>
      <c r="CU134">
        <f t="shared" si="130"/>
        <v>0</v>
      </c>
      <c r="CV134">
        <f t="shared" si="131"/>
        <v>13.719999999999999</v>
      </c>
      <c r="CW134">
        <f t="shared" si="132"/>
        <v>0</v>
      </c>
      <c r="CX134">
        <f t="shared" si="133"/>
        <v>0</v>
      </c>
      <c r="CY134">
        <f t="shared" si="134"/>
        <v>6659813.726999999</v>
      </c>
      <c r="CZ134">
        <f t="shared" si="135"/>
        <v>951401.96099999989</v>
      </c>
      <c r="DC134" t="s">
        <v>3</v>
      </c>
      <c r="DD134" t="s">
        <v>156</v>
      </c>
      <c r="DE134" t="s">
        <v>156</v>
      </c>
      <c r="DF134" t="s">
        <v>156</v>
      </c>
      <c r="DG134" t="s">
        <v>156</v>
      </c>
      <c r="DH134" t="s">
        <v>3</v>
      </c>
      <c r="DI134" t="s">
        <v>156</v>
      </c>
      <c r="DJ134" t="s">
        <v>156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1005</v>
      </c>
      <c r="DV134" t="s">
        <v>29</v>
      </c>
      <c r="DW134" t="s">
        <v>29</v>
      </c>
      <c r="DX134">
        <v>100</v>
      </c>
      <c r="DZ134" t="s">
        <v>3</v>
      </c>
      <c r="EA134" t="s">
        <v>3</v>
      </c>
      <c r="EB134" t="s">
        <v>3</v>
      </c>
      <c r="EC134" t="s">
        <v>3</v>
      </c>
      <c r="EE134">
        <v>80196140</v>
      </c>
      <c r="EF134">
        <v>1</v>
      </c>
      <c r="EG134" t="s">
        <v>23</v>
      </c>
      <c r="EH134">
        <v>0</v>
      </c>
      <c r="EI134" t="s">
        <v>3</v>
      </c>
      <c r="EJ134">
        <v>4</v>
      </c>
      <c r="EK134">
        <v>0</v>
      </c>
      <c r="EL134" t="s">
        <v>24</v>
      </c>
      <c r="EM134" t="s">
        <v>25</v>
      </c>
      <c r="EO134" t="s">
        <v>3</v>
      </c>
      <c r="EQ134">
        <v>0</v>
      </c>
      <c r="ER134">
        <v>473.78</v>
      </c>
      <c r="ES134">
        <v>0</v>
      </c>
      <c r="ET134">
        <v>24.44</v>
      </c>
      <c r="EU134">
        <v>2.46</v>
      </c>
      <c r="EV134">
        <v>449.34</v>
      </c>
      <c r="EW134">
        <v>0.98</v>
      </c>
      <c r="EX134">
        <v>0</v>
      </c>
      <c r="EY134">
        <v>0</v>
      </c>
      <c r="FQ134">
        <v>0</v>
      </c>
      <c r="FR134"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-1313962782</v>
      </c>
      <c r="GG134">
        <v>2</v>
      </c>
      <c r="GH134">
        <v>1</v>
      </c>
      <c r="GI134">
        <v>-2</v>
      </c>
      <c r="GJ134">
        <v>0</v>
      </c>
      <c r="GK134">
        <f>ROUND(R134*(R12)/100,2)</f>
        <v>56253.279999999999</v>
      </c>
      <c r="GL134">
        <f t="shared" si="136"/>
        <v>0</v>
      </c>
      <c r="GM134">
        <f t="shared" si="137"/>
        <v>17698964.52</v>
      </c>
      <c r="GN134">
        <f t="shared" si="138"/>
        <v>0</v>
      </c>
      <c r="GO134">
        <f t="shared" si="139"/>
        <v>0</v>
      </c>
      <c r="GP134">
        <f t="shared" si="140"/>
        <v>17698964.52</v>
      </c>
      <c r="GR134">
        <v>0</v>
      </c>
      <c r="GS134">
        <v>3</v>
      </c>
      <c r="GT134">
        <v>0</v>
      </c>
      <c r="GU134" t="s">
        <v>3</v>
      </c>
      <c r="GV134">
        <f t="shared" si="141"/>
        <v>0</v>
      </c>
      <c r="GW134">
        <v>1</v>
      </c>
      <c r="GX134">
        <f t="shared" si="142"/>
        <v>0</v>
      </c>
      <c r="HA134">
        <v>0</v>
      </c>
      <c r="HB134">
        <v>0</v>
      </c>
      <c r="HC134">
        <f t="shared" si="143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HS134">
        <v>0</v>
      </c>
      <c r="IK134">
        <v>0</v>
      </c>
    </row>
    <row r="135" spans="1:245" x14ac:dyDescent="0.25">
      <c r="A135">
        <v>17</v>
      </c>
      <c r="B135">
        <v>1</v>
      </c>
      <c r="C135">
        <f>ROW(SmtRes!A53)</f>
        <v>53</v>
      </c>
      <c r="D135">
        <f>ROW(EtalonRes!A53)</f>
        <v>53</v>
      </c>
      <c r="E135" t="s">
        <v>203</v>
      </c>
      <c r="F135" t="s">
        <v>204</v>
      </c>
      <c r="G135" t="s">
        <v>205</v>
      </c>
      <c r="H135" t="s">
        <v>39</v>
      </c>
      <c r="I135">
        <v>567.99</v>
      </c>
      <c r="J135">
        <v>0</v>
      </c>
      <c r="K135">
        <v>567.99</v>
      </c>
      <c r="O135">
        <f t="shared" si="110"/>
        <v>9037050.3399999999</v>
      </c>
      <c r="P135">
        <f t="shared" si="111"/>
        <v>435841.45</v>
      </c>
      <c r="Q135">
        <f t="shared" si="112"/>
        <v>7150869.1399999997</v>
      </c>
      <c r="R135">
        <f t="shared" si="113"/>
        <v>2468734.46</v>
      </c>
      <c r="S135">
        <f t="shared" si="114"/>
        <v>1450339.75</v>
      </c>
      <c r="T135">
        <f t="shared" si="115"/>
        <v>0</v>
      </c>
      <c r="U135">
        <f t="shared" si="116"/>
        <v>4453.0416000000005</v>
      </c>
      <c r="V135">
        <f t="shared" si="117"/>
        <v>0</v>
      </c>
      <c r="W135">
        <f t="shared" si="118"/>
        <v>0</v>
      </c>
      <c r="X135">
        <f t="shared" si="119"/>
        <v>1015237.83</v>
      </c>
      <c r="Y135">
        <f t="shared" si="120"/>
        <v>145033.98000000001</v>
      </c>
      <c r="AA135">
        <v>80891185</v>
      </c>
      <c r="AB135">
        <f t="shared" si="121"/>
        <v>15910.58</v>
      </c>
      <c r="AC135">
        <f>ROUND(((ES135*14)),6)</f>
        <v>767.34</v>
      </c>
      <c r="AD135">
        <f>ROUND(((((ET135*14))-((EU135*14)))+AE135),6)</f>
        <v>12589.78</v>
      </c>
      <c r="AE135">
        <f>ROUND(((EU135*14)),6)</f>
        <v>4346.4399999999996</v>
      </c>
      <c r="AF135">
        <f>ROUND(((EV135*14)),6)</f>
        <v>2553.46</v>
      </c>
      <c r="AG135">
        <f t="shared" si="123"/>
        <v>0</v>
      </c>
      <c r="AH135">
        <f>((EW135*14))</f>
        <v>7.8400000000000007</v>
      </c>
      <c r="AI135">
        <f>((EX135*14))</f>
        <v>0</v>
      </c>
      <c r="AJ135">
        <f t="shared" si="125"/>
        <v>0</v>
      </c>
      <c r="AK135">
        <v>1136.47</v>
      </c>
      <c r="AL135">
        <v>54.81</v>
      </c>
      <c r="AM135">
        <v>899.27</v>
      </c>
      <c r="AN135">
        <v>310.45999999999998</v>
      </c>
      <c r="AO135">
        <v>182.39</v>
      </c>
      <c r="AP135">
        <v>0</v>
      </c>
      <c r="AQ135">
        <v>0.56000000000000005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206</v>
      </c>
      <c r="BM135">
        <v>0</v>
      </c>
      <c r="BN135">
        <v>0</v>
      </c>
      <c r="BO135" t="s">
        <v>3</v>
      </c>
      <c r="BP135">
        <v>0</v>
      </c>
      <c r="BQ135">
        <v>1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26"/>
        <v>9037050.3399999999</v>
      </c>
      <c r="CQ135">
        <f t="shared" si="127"/>
        <v>767.34</v>
      </c>
      <c r="CR135">
        <f>(((((ET135*14))*BB135-((EU135*14))*BS135)+AE135*BS135)*AV135)</f>
        <v>12589.779999999999</v>
      </c>
      <c r="CS135">
        <f t="shared" si="128"/>
        <v>4346.4399999999996</v>
      </c>
      <c r="CT135">
        <f t="shared" si="129"/>
        <v>2553.46</v>
      </c>
      <c r="CU135">
        <f t="shared" si="130"/>
        <v>0</v>
      </c>
      <c r="CV135">
        <f t="shared" si="131"/>
        <v>7.8400000000000007</v>
      </c>
      <c r="CW135">
        <f t="shared" si="132"/>
        <v>0</v>
      </c>
      <c r="CX135">
        <f t="shared" si="133"/>
        <v>0</v>
      </c>
      <c r="CY135">
        <f t="shared" si="134"/>
        <v>1015237.825</v>
      </c>
      <c r="CZ135">
        <f t="shared" si="135"/>
        <v>145033.97500000001</v>
      </c>
      <c r="DC135" t="s">
        <v>3</v>
      </c>
      <c r="DD135" t="s">
        <v>156</v>
      </c>
      <c r="DE135" t="s">
        <v>156</v>
      </c>
      <c r="DF135" t="s">
        <v>156</v>
      </c>
      <c r="DG135" t="s">
        <v>156</v>
      </c>
      <c r="DH135" t="s">
        <v>3</v>
      </c>
      <c r="DI135" t="s">
        <v>156</v>
      </c>
      <c r="DJ135" t="s">
        <v>156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1007</v>
      </c>
      <c r="DV135" t="s">
        <v>39</v>
      </c>
      <c r="DW135" t="s">
        <v>39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80196140</v>
      </c>
      <c r="EF135">
        <v>1</v>
      </c>
      <c r="EG135" t="s">
        <v>23</v>
      </c>
      <c r="EH135">
        <v>0</v>
      </c>
      <c r="EI135" t="s">
        <v>3</v>
      </c>
      <c r="EJ135">
        <v>4</v>
      </c>
      <c r="EK135">
        <v>0</v>
      </c>
      <c r="EL135" t="s">
        <v>24</v>
      </c>
      <c r="EM135" t="s">
        <v>25</v>
      </c>
      <c r="EO135" t="s">
        <v>3</v>
      </c>
      <c r="EQ135">
        <v>0</v>
      </c>
      <c r="ER135">
        <v>1136.47</v>
      </c>
      <c r="ES135">
        <v>54.81</v>
      </c>
      <c r="ET135">
        <v>899.27</v>
      </c>
      <c r="EU135">
        <v>310.45999999999998</v>
      </c>
      <c r="EV135">
        <v>182.39</v>
      </c>
      <c r="EW135">
        <v>0.56000000000000005</v>
      </c>
      <c r="EX135">
        <v>0</v>
      </c>
      <c r="EY135">
        <v>0</v>
      </c>
      <c r="FQ135">
        <v>0</v>
      </c>
      <c r="FR135"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-1576223679</v>
      </c>
      <c r="GG135">
        <v>2</v>
      </c>
      <c r="GH135">
        <v>1</v>
      </c>
      <c r="GI135">
        <v>-2</v>
      </c>
      <c r="GJ135">
        <v>0</v>
      </c>
      <c r="GK135">
        <f>ROUND(R135*(R12)/100,2)</f>
        <v>2666233.2200000002</v>
      </c>
      <c r="GL135">
        <f t="shared" si="136"/>
        <v>0</v>
      </c>
      <c r="GM135">
        <f t="shared" si="137"/>
        <v>12863555.369999999</v>
      </c>
      <c r="GN135">
        <f t="shared" si="138"/>
        <v>0</v>
      </c>
      <c r="GO135">
        <f t="shared" si="139"/>
        <v>0</v>
      </c>
      <c r="GP135">
        <f t="shared" si="140"/>
        <v>12863555.369999999</v>
      </c>
      <c r="GR135">
        <v>0</v>
      </c>
      <c r="GS135">
        <v>3</v>
      </c>
      <c r="GT135">
        <v>0</v>
      </c>
      <c r="GU135" t="s">
        <v>3</v>
      </c>
      <c r="GV135">
        <f t="shared" si="141"/>
        <v>0</v>
      </c>
      <c r="GW135">
        <v>1</v>
      </c>
      <c r="GX135">
        <f t="shared" si="142"/>
        <v>0</v>
      </c>
      <c r="HA135">
        <v>0</v>
      </c>
      <c r="HB135">
        <v>0</v>
      </c>
      <c r="HC135">
        <f t="shared" si="143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HS135">
        <v>0</v>
      </c>
      <c r="IK135">
        <v>0</v>
      </c>
    </row>
    <row r="136" spans="1:245" x14ac:dyDescent="0.25">
      <c r="A136">
        <v>18</v>
      </c>
      <c r="B136">
        <v>1</v>
      </c>
      <c r="C136">
        <v>53</v>
      </c>
      <c r="E136" t="s">
        <v>207</v>
      </c>
      <c r="F136" t="s">
        <v>37</v>
      </c>
      <c r="G136" t="s">
        <v>38</v>
      </c>
      <c r="H136" t="s">
        <v>39</v>
      </c>
      <c r="I136">
        <f>I135*J136</f>
        <v>-7951.8600000000006</v>
      </c>
      <c r="J136">
        <v>-14</v>
      </c>
      <c r="K136">
        <v>-1</v>
      </c>
      <c r="O136">
        <f t="shared" si="110"/>
        <v>-435841.45</v>
      </c>
      <c r="P136">
        <f t="shared" si="111"/>
        <v>-435841.45</v>
      </c>
      <c r="Q136">
        <f t="shared" si="112"/>
        <v>0</v>
      </c>
      <c r="R136">
        <f t="shared" si="113"/>
        <v>0</v>
      </c>
      <c r="S136">
        <f t="shared" si="114"/>
        <v>0</v>
      </c>
      <c r="T136">
        <f t="shared" si="115"/>
        <v>0</v>
      </c>
      <c r="U136">
        <f t="shared" si="116"/>
        <v>0</v>
      </c>
      <c r="V136">
        <f t="shared" si="117"/>
        <v>0</v>
      </c>
      <c r="W136">
        <f t="shared" si="118"/>
        <v>0</v>
      </c>
      <c r="X136">
        <f t="shared" si="119"/>
        <v>0</v>
      </c>
      <c r="Y136">
        <f t="shared" si="120"/>
        <v>0</v>
      </c>
      <c r="AA136">
        <v>80891185</v>
      </c>
      <c r="AB136">
        <f t="shared" si="121"/>
        <v>54.81</v>
      </c>
      <c r="AC136">
        <f>ROUND((ES136),6)</f>
        <v>54.81</v>
      </c>
      <c r="AD136">
        <f>ROUND((((ET136)-(EU136))+AE136),6)</f>
        <v>0</v>
      </c>
      <c r="AE136">
        <f t="shared" ref="AE136:AF138" si="144">ROUND((EU136),6)</f>
        <v>0</v>
      </c>
      <c r="AF136">
        <f t="shared" si="144"/>
        <v>0</v>
      </c>
      <c r="AG136">
        <f t="shared" si="123"/>
        <v>0</v>
      </c>
      <c r="AH136">
        <f t="shared" ref="AH136:AI138" si="145">(EW136)</f>
        <v>0</v>
      </c>
      <c r="AI136">
        <f t="shared" si="145"/>
        <v>0</v>
      </c>
      <c r="AJ136">
        <f t="shared" si="125"/>
        <v>0</v>
      </c>
      <c r="AK136">
        <v>54.81</v>
      </c>
      <c r="AL136">
        <v>54.81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3</v>
      </c>
      <c r="BI136">
        <v>4</v>
      </c>
      <c r="BJ136" t="s">
        <v>40</v>
      </c>
      <c r="BM136">
        <v>0</v>
      </c>
      <c r="BN136">
        <v>0</v>
      </c>
      <c r="BO136" t="s">
        <v>3</v>
      </c>
      <c r="BP136">
        <v>0</v>
      </c>
      <c r="BQ136">
        <v>1</v>
      </c>
      <c r="BR136">
        <v>1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26"/>
        <v>-435841.45</v>
      </c>
      <c r="CQ136">
        <f t="shared" si="127"/>
        <v>54.81</v>
      </c>
      <c r="CR136">
        <f>((((ET136)*BB136-(EU136)*BS136)+AE136*BS136)*AV136)</f>
        <v>0</v>
      </c>
      <c r="CS136">
        <f t="shared" si="128"/>
        <v>0</v>
      </c>
      <c r="CT136">
        <f t="shared" si="129"/>
        <v>0</v>
      </c>
      <c r="CU136">
        <f t="shared" si="130"/>
        <v>0</v>
      </c>
      <c r="CV136">
        <f t="shared" si="131"/>
        <v>0</v>
      </c>
      <c r="CW136">
        <f t="shared" si="132"/>
        <v>0</v>
      </c>
      <c r="CX136">
        <f t="shared" si="133"/>
        <v>0</v>
      </c>
      <c r="CY136">
        <f t="shared" si="134"/>
        <v>0</v>
      </c>
      <c r="CZ136">
        <f t="shared" si="135"/>
        <v>0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1007</v>
      </c>
      <c r="DV136" t="s">
        <v>39</v>
      </c>
      <c r="DW136" t="s">
        <v>39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80196140</v>
      </c>
      <c r="EF136">
        <v>1</v>
      </c>
      <c r="EG136" t="s">
        <v>23</v>
      </c>
      <c r="EH136">
        <v>0</v>
      </c>
      <c r="EI136" t="s">
        <v>3</v>
      </c>
      <c r="EJ136">
        <v>4</v>
      </c>
      <c r="EK136">
        <v>0</v>
      </c>
      <c r="EL136" t="s">
        <v>24</v>
      </c>
      <c r="EM136" t="s">
        <v>25</v>
      </c>
      <c r="EO136" t="s">
        <v>3</v>
      </c>
      <c r="EQ136">
        <v>0</v>
      </c>
      <c r="ER136">
        <v>54.81</v>
      </c>
      <c r="ES136">
        <v>54.81</v>
      </c>
      <c r="ET136">
        <v>0</v>
      </c>
      <c r="EU136">
        <v>0</v>
      </c>
      <c r="EV136">
        <v>0</v>
      </c>
      <c r="EW136">
        <v>0</v>
      </c>
      <c r="EX136">
        <v>0</v>
      </c>
      <c r="FQ136">
        <v>0</v>
      </c>
      <c r="FR136"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2112060389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136"/>
        <v>0</v>
      </c>
      <c r="GM136">
        <f t="shared" si="137"/>
        <v>-435841.45</v>
      </c>
      <c r="GN136">
        <f t="shared" si="138"/>
        <v>0</v>
      </c>
      <c r="GO136">
        <f t="shared" si="139"/>
        <v>0</v>
      </c>
      <c r="GP136">
        <f t="shared" si="140"/>
        <v>-435841.45</v>
      </c>
      <c r="GR136">
        <v>0</v>
      </c>
      <c r="GS136">
        <v>3</v>
      </c>
      <c r="GT136">
        <v>0</v>
      </c>
      <c r="GU136" t="s">
        <v>3</v>
      </c>
      <c r="GV136">
        <f t="shared" si="141"/>
        <v>0</v>
      </c>
      <c r="GW136">
        <v>1</v>
      </c>
      <c r="GX136">
        <f t="shared" si="142"/>
        <v>0</v>
      </c>
      <c r="HA136">
        <v>0</v>
      </c>
      <c r="HB136">
        <v>0</v>
      </c>
      <c r="HC136">
        <f t="shared" si="143"/>
        <v>0</v>
      </c>
      <c r="HE136" t="s">
        <v>3</v>
      </c>
      <c r="HF136" t="s">
        <v>3</v>
      </c>
      <c r="HM136" t="s">
        <v>156</v>
      </c>
      <c r="HN136" t="s">
        <v>3</v>
      </c>
      <c r="HO136" t="s">
        <v>3</v>
      </c>
      <c r="HP136" t="s">
        <v>3</v>
      </c>
      <c r="HQ136" t="s">
        <v>3</v>
      </c>
      <c r="HS136">
        <v>0</v>
      </c>
      <c r="IK136">
        <v>0</v>
      </c>
    </row>
    <row r="137" spans="1:245" x14ac:dyDescent="0.25">
      <c r="A137">
        <v>17</v>
      </c>
      <c r="B137">
        <v>1</v>
      </c>
      <c r="C137">
        <f>ROW(SmtRes!A55)</f>
        <v>55</v>
      </c>
      <c r="D137">
        <f>ROW(EtalonRes!A55)</f>
        <v>55</v>
      </c>
      <c r="E137" t="s">
        <v>208</v>
      </c>
      <c r="F137" t="s">
        <v>209</v>
      </c>
      <c r="G137" t="s">
        <v>210</v>
      </c>
      <c r="H137" t="s">
        <v>29</v>
      </c>
      <c r="I137">
        <f>ROUND(75619/100,9)</f>
        <v>756.19</v>
      </c>
      <c r="J137">
        <v>0</v>
      </c>
      <c r="K137">
        <f>ROUND(75619/100,9)</f>
        <v>756.19</v>
      </c>
      <c r="O137">
        <f t="shared" si="110"/>
        <v>265853.71999999997</v>
      </c>
      <c r="P137">
        <f t="shared" si="111"/>
        <v>0</v>
      </c>
      <c r="Q137">
        <f t="shared" si="112"/>
        <v>0</v>
      </c>
      <c r="R137">
        <f t="shared" si="113"/>
        <v>0</v>
      </c>
      <c r="S137">
        <f t="shared" si="114"/>
        <v>265853.71999999997</v>
      </c>
      <c r="T137">
        <f t="shared" si="115"/>
        <v>0</v>
      </c>
      <c r="U137">
        <f t="shared" si="116"/>
        <v>529.33299999999997</v>
      </c>
      <c r="V137">
        <f t="shared" si="117"/>
        <v>0</v>
      </c>
      <c r="W137">
        <f t="shared" si="118"/>
        <v>0</v>
      </c>
      <c r="X137">
        <f t="shared" si="119"/>
        <v>186097.6</v>
      </c>
      <c r="Y137">
        <f t="shared" si="120"/>
        <v>26585.37</v>
      </c>
      <c r="AA137">
        <v>80891185</v>
      </c>
      <c r="AB137">
        <f t="shared" si="121"/>
        <v>351.57</v>
      </c>
      <c r="AC137">
        <f>ROUND((ES137),6)</f>
        <v>0</v>
      </c>
      <c r="AD137">
        <f>ROUND((((ET137)-(EU137))+AE137),6)</f>
        <v>0</v>
      </c>
      <c r="AE137">
        <f t="shared" si="144"/>
        <v>0</v>
      </c>
      <c r="AF137">
        <f t="shared" si="144"/>
        <v>351.57</v>
      </c>
      <c r="AG137">
        <f t="shared" si="123"/>
        <v>0</v>
      </c>
      <c r="AH137">
        <f t="shared" si="145"/>
        <v>0.7</v>
      </c>
      <c r="AI137">
        <f t="shared" si="145"/>
        <v>0</v>
      </c>
      <c r="AJ137">
        <f t="shared" si="125"/>
        <v>0</v>
      </c>
      <c r="AK137">
        <v>351.57</v>
      </c>
      <c r="AL137">
        <v>0</v>
      </c>
      <c r="AM137">
        <v>0</v>
      </c>
      <c r="AN137">
        <v>0</v>
      </c>
      <c r="AO137">
        <v>351.57</v>
      </c>
      <c r="AP137">
        <v>0</v>
      </c>
      <c r="AQ137">
        <v>0.7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211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26"/>
        <v>265853.71999999997</v>
      </c>
      <c r="CQ137">
        <f t="shared" si="127"/>
        <v>0</v>
      </c>
      <c r="CR137">
        <f>((((ET137)*BB137-(EU137)*BS137)+AE137*BS137)*AV137)</f>
        <v>0</v>
      </c>
      <c r="CS137">
        <f t="shared" si="128"/>
        <v>0</v>
      </c>
      <c r="CT137">
        <f t="shared" si="129"/>
        <v>351.57</v>
      </c>
      <c r="CU137">
        <f t="shared" si="130"/>
        <v>0</v>
      </c>
      <c r="CV137">
        <f t="shared" si="131"/>
        <v>0.7</v>
      </c>
      <c r="CW137">
        <f t="shared" si="132"/>
        <v>0</v>
      </c>
      <c r="CX137">
        <f t="shared" si="133"/>
        <v>0</v>
      </c>
      <c r="CY137">
        <f t="shared" si="134"/>
        <v>186097.60399999999</v>
      </c>
      <c r="CZ137">
        <f t="shared" si="135"/>
        <v>26585.371999999996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1005</v>
      </c>
      <c r="DV137" t="s">
        <v>29</v>
      </c>
      <c r="DW137" t="s">
        <v>29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80196140</v>
      </c>
      <c r="EF137">
        <v>1</v>
      </c>
      <c r="EG137" t="s">
        <v>23</v>
      </c>
      <c r="EH137">
        <v>0</v>
      </c>
      <c r="EI137" t="s">
        <v>3</v>
      </c>
      <c r="EJ137">
        <v>4</v>
      </c>
      <c r="EK137">
        <v>0</v>
      </c>
      <c r="EL137" t="s">
        <v>24</v>
      </c>
      <c r="EM137" t="s">
        <v>25</v>
      </c>
      <c r="EO137" t="s">
        <v>3</v>
      </c>
      <c r="EQ137">
        <v>0</v>
      </c>
      <c r="ER137">
        <v>351.57</v>
      </c>
      <c r="ES137">
        <v>0</v>
      </c>
      <c r="ET137">
        <v>0</v>
      </c>
      <c r="EU137">
        <v>0</v>
      </c>
      <c r="EV137">
        <v>351.57</v>
      </c>
      <c r="EW137">
        <v>0.7</v>
      </c>
      <c r="EX137">
        <v>0</v>
      </c>
      <c r="EY137">
        <v>0</v>
      </c>
      <c r="FQ137">
        <v>0</v>
      </c>
      <c r="FR137"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1256345573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36"/>
        <v>0</v>
      </c>
      <c r="GM137">
        <f t="shared" si="137"/>
        <v>478536.69</v>
      </c>
      <c r="GN137">
        <f t="shared" si="138"/>
        <v>0</v>
      </c>
      <c r="GO137">
        <f t="shared" si="139"/>
        <v>0</v>
      </c>
      <c r="GP137">
        <f t="shared" si="140"/>
        <v>478536.69</v>
      </c>
      <c r="GR137">
        <v>0</v>
      </c>
      <c r="GS137">
        <v>3</v>
      </c>
      <c r="GT137">
        <v>0</v>
      </c>
      <c r="GU137" t="s">
        <v>3</v>
      </c>
      <c r="GV137">
        <f t="shared" si="141"/>
        <v>0</v>
      </c>
      <c r="GW137">
        <v>1</v>
      </c>
      <c r="GX137">
        <f t="shared" si="142"/>
        <v>0</v>
      </c>
      <c r="HA137">
        <v>0</v>
      </c>
      <c r="HB137">
        <v>0</v>
      </c>
      <c r="HC137">
        <f t="shared" si="143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HS137">
        <v>0</v>
      </c>
      <c r="IK137">
        <v>0</v>
      </c>
    </row>
    <row r="138" spans="1:245" x14ac:dyDescent="0.25">
      <c r="A138">
        <v>18</v>
      </c>
      <c r="B138">
        <v>1</v>
      </c>
      <c r="C138">
        <v>55</v>
      </c>
      <c r="E138" t="s">
        <v>212</v>
      </c>
      <c r="F138" t="s">
        <v>213</v>
      </c>
      <c r="G138" t="s">
        <v>214</v>
      </c>
      <c r="H138" t="s">
        <v>215</v>
      </c>
      <c r="I138">
        <f>I137*J138</f>
        <v>3780.95</v>
      </c>
      <c r="J138">
        <v>4.9999999999999991</v>
      </c>
      <c r="K138">
        <v>5</v>
      </c>
      <c r="O138">
        <f t="shared" si="110"/>
        <v>414467.74</v>
      </c>
      <c r="P138">
        <f t="shared" si="111"/>
        <v>414467.74</v>
      </c>
      <c r="Q138">
        <f t="shared" si="112"/>
        <v>0</v>
      </c>
      <c r="R138">
        <f t="shared" si="113"/>
        <v>0</v>
      </c>
      <c r="S138">
        <f t="shared" si="114"/>
        <v>0</v>
      </c>
      <c r="T138">
        <f t="shared" si="115"/>
        <v>0</v>
      </c>
      <c r="U138">
        <f t="shared" si="116"/>
        <v>0</v>
      </c>
      <c r="V138">
        <f t="shared" si="117"/>
        <v>0</v>
      </c>
      <c r="W138">
        <f t="shared" si="118"/>
        <v>0</v>
      </c>
      <c r="X138">
        <f t="shared" si="119"/>
        <v>0</v>
      </c>
      <c r="Y138">
        <f t="shared" si="120"/>
        <v>0</v>
      </c>
      <c r="AA138">
        <v>80891185</v>
      </c>
      <c r="AB138">
        <f t="shared" si="121"/>
        <v>109.62</v>
      </c>
      <c r="AC138">
        <f>ROUND((ES138),6)</f>
        <v>109.62</v>
      </c>
      <c r="AD138">
        <f>ROUND((((ET138)-(EU138))+AE138),6)</f>
        <v>0</v>
      </c>
      <c r="AE138">
        <f t="shared" si="144"/>
        <v>0</v>
      </c>
      <c r="AF138">
        <f t="shared" si="144"/>
        <v>0</v>
      </c>
      <c r="AG138">
        <f t="shared" si="123"/>
        <v>0</v>
      </c>
      <c r="AH138">
        <f t="shared" si="145"/>
        <v>0</v>
      </c>
      <c r="AI138">
        <f t="shared" si="145"/>
        <v>0</v>
      </c>
      <c r="AJ138">
        <f t="shared" si="125"/>
        <v>0</v>
      </c>
      <c r="AK138">
        <v>109.62</v>
      </c>
      <c r="AL138">
        <v>109.62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4</v>
      </c>
      <c r="BJ138" t="s">
        <v>216</v>
      </c>
      <c r="BM138">
        <v>0</v>
      </c>
      <c r="BN138">
        <v>0</v>
      </c>
      <c r="BO138" t="s">
        <v>3</v>
      </c>
      <c r="BP138">
        <v>0</v>
      </c>
      <c r="BQ138">
        <v>1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26"/>
        <v>414467.74</v>
      </c>
      <c r="CQ138">
        <f t="shared" si="127"/>
        <v>109.62</v>
      </c>
      <c r="CR138">
        <f>((((ET138)*BB138-(EU138)*BS138)+AE138*BS138)*AV138)</f>
        <v>0</v>
      </c>
      <c r="CS138">
        <f t="shared" si="128"/>
        <v>0</v>
      </c>
      <c r="CT138">
        <f t="shared" si="129"/>
        <v>0</v>
      </c>
      <c r="CU138">
        <f t="shared" si="130"/>
        <v>0</v>
      </c>
      <c r="CV138">
        <f t="shared" si="131"/>
        <v>0</v>
      </c>
      <c r="CW138">
        <f t="shared" si="132"/>
        <v>0</v>
      </c>
      <c r="CX138">
        <f t="shared" si="133"/>
        <v>0</v>
      </c>
      <c r="CY138">
        <f t="shared" si="134"/>
        <v>0</v>
      </c>
      <c r="CZ138">
        <f t="shared" si="135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1009</v>
      </c>
      <c r="DV138" t="s">
        <v>215</v>
      </c>
      <c r="DW138" t="s">
        <v>215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80196140</v>
      </c>
      <c r="EF138">
        <v>1</v>
      </c>
      <c r="EG138" t="s">
        <v>23</v>
      </c>
      <c r="EH138">
        <v>0</v>
      </c>
      <c r="EI138" t="s">
        <v>3</v>
      </c>
      <c r="EJ138">
        <v>4</v>
      </c>
      <c r="EK138">
        <v>0</v>
      </c>
      <c r="EL138" t="s">
        <v>24</v>
      </c>
      <c r="EM138" t="s">
        <v>25</v>
      </c>
      <c r="EO138" t="s">
        <v>3</v>
      </c>
      <c r="EQ138">
        <v>0</v>
      </c>
      <c r="ER138">
        <v>109.62</v>
      </c>
      <c r="ES138">
        <v>109.62</v>
      </c>
      <c r="ET138">
        <v>0</v>
      </c>
      <c r="EU138">
        <v>0</v>
      </c>
      <c r="EV138">
        <v>0</v>
      </c>
      <c r="EW138">
        <v>0</v>
      </c>
      <c r="EX138">
        <v>0</v>
      </c>
      <c r="FQ138">
        <v>0</v>
      </c>
      <c r="FR138"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-606801753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36"/>
        <v>0</v>
      </c>
      <c r="GM138">
        <f t="shared" si="137"/>
        <v>414467.74</v>
      </c>
      <c r="GN138">
        <f t="shared" si="138"/>
        <v>0</v>
      </c>
      <c r="GO138">
        <f t="shared" si="139"/>
        <v>0</v>
      </c>
      <c r="GP138">
        <f t="shared" si="140"/>
        <v>414467.74</v>
      </c>
      <c r="GR138">
        <v>0</v>
      </c>
      <c r="GS138">
        <v>3</v>
      </c>
      <c r="GT138">
        <v>0</v>
      </c>
      <c r="GU138" t="s">
        <v>3</v>
      </c>
      <c r="GV138">
        <f t="shared" si="141"/>
        <v>0</v>
      </c>
      <c r="GW138">
        <v>1</v>
      </c>
      <c r="GX138">
        <f t="shared" si="142"/>
        <v>0</v>
      </c>
      <c r="HA138">
        <v>0</v>
      </c>
      <c r="HB138">
        <v>0</v>
      </c>
      <c r="HC138">
        <f t="shared" si="143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HS138">
        <v>0</v>
      </c>
      <c r="IK138">
        <v>0</v>
      </c>
    </row>
    <row r="139" spans="1:245" x14ac:dyDescent="0.25">
      <c r="A139">
        <v>17</v>
      </c>
      <c r="B139">
        <v>1</v>
      </c>
      <c r="C139">
        <f>ROW(SmtRes!A58)</f>
        <v>58</v>
      </c>
      <c r="D139">
        <f>ROW(EtalonRes!A58)</f>
        <v>58</v>
      </c>
      <c r="E139" t="s">
        <v>217</v>
      </c>
      <c r="F139" t="s">
        <v>204</v>
      </c>
      <c r="G139" t="s">
        <v>218</v>
      </c>
      <c r="H139" t="s">
        <v>39</v>
      </c>
      <c r="I139">
        <v>94.56</v>
      </c>
      <c r="J139">
        <v>0</v>
      </c>
      <c r="K139">
        <v>94.56</v>
      </c>
      <c r="O139">
        <f t="shared" si="110"/>
        <v>1074646.03</v>
      </c>
      <c r="P139">
        <f t="shared" si="111"/>
        <v>51828.34</v>
      </c>
      <c r="Q139">
        <f t="shared" si="112"/>
        <v>850349.71</v>
      </c>
      <c r="R139">
        <f t="shared" si="113"/>
        <v>293570.98</v>
      </c>
      <c r="S139">
        <f t="shared" si="114"/>
        <v>172467.98</v>
      </c>
      <c r="T139">
        <f t="shared" si="115"/>
        <v>0</v>
      </c>
      <c r="U139">
        <f t="shared" si="116"/>
        <v>529.53600000000006</v>
      </c>
      <c r="V139">
        <f t="shared" si="117"/>
        <v>0</v>
      </c>
      <c r="W139">
        <f t="shared" si="118"/>
        <v>0</v>
      </c>
      <c r="X139">
        <f t="shared" si="119"/>
        <v>120727.59</v>
      </c>
      <c r="Y139">
        <f t="shared" si="120"/>
        <v>17246.8</v>
      </c>
      <c r="AA139">
        <v>80891185</v>
      </c>
      <c r="AB139">
        <f t="shared" si="121"/>
        <v>11364.7</v>
      </c>
      <c r="AC139">
        <f>ROUND(((ES139*10)),6)</f>
        <v>548.1</v>
      </c>
      <c r="AD139">
        <f>ROUND(((((ET139*10))-((EU139*10)))+AE139),6)</f>
        <v>8992.7000000000007</v>
      </c>
      <c r="AE139">
        <f>ROUND(((EU139*10)),6)</f>
        <v>3104.6</v>
      </c>
      <c r="AF139">
        <f>ROUND(((EV139*10)),6)</f>
        <v>1823.9</v>
      </c>
      <c r="AG139">
        <f t="shared" si="123"/>
        <v>0</v>
      </c>
      <c r="AH139">
        <f>((EW139*10))</f>
        <v>5.6000000000000005</v>
      </c>
      <c r="AI139">
        <f>((EX139*10))</f>
        <v>0</v>
      </c>
      <c r="AJ139">
        <f t="shared" si="125"/>
        <v>0</v>
      </c>
      <c r="AK139">
        <v>1136.47</v>
      </c>
      <c r="AL139">
        <v>54.81</v>
      </c>
      <c r="AM139">
        <v>899.27</v>
      </c>
      <c r="AN139">
        <v>310.45999999999998</v>
      </c>
      <c r="AO139">
        <v>182.39</v>
      </c>
      <c r="AP139">
        <v>0</v>
      </c>
      <c r="AQ139">
        <v>0.56000000000000005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206</v>
      </c>
      <c r="BM139">
        <v>0</v>
      </c>
      <c r="BN139">
        <v>0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26"/>
        <v>1074646.03</v>
      </c>
      <c r="CQ139">
        <f t="shared" si="127"/>
        <v>548.1</v>
      </c>
      <c r="CR139">
        <f>(((((ET139*10))*BB139-((EU139*10))*BS139)+AE139*BS139)*AV139)</f>
        <v>8992.7000000000007</v>
      </c>
      <c r="CS139">
        <f t="shared" si="128"/>
        <v>3104.6</v>
      </c>
      <c r="CT139">
        <f t="shared" si="129"/>
        <v>1823.9</v>
      </c>
      <c r="CU139">
        <f t="shared" si="130"/>
        <v>0</v>
      </c>
      <c r="CV139">
        <f t="shared" si="131"/>
        <v>5.6000000000000005</v>
      </c>
      <c r="CW139">
        <f t="shared" si="132"/>
        <v>0</v>
      </c>
      <c r="CX139">
        <f t="shared" si="133"/>
        <v>0</v>
      </c>
      <c r="CY139">
        <f t="shared" si="134"/>
        <v>120727.58600000001</v>
      </c>
      <c r="CZ139">
        <f t="shared" si="135"/>
        <v>17246.797999999999</v>
      </c>
      <c r="DC139" t="s">
        <v>3</v>
      </c>
      <c r="DD139" t="s">
        <v>219</v>
      </c>
      <c r="DE139" t="s">
        <v>219</v>
      </c>
      <c r="DF139" t="s">
        <v>219</v>
      </c>
      <c r="DG139" t="s">
        <v>219</v>
      </c>
      <c r="DH139" t="s">
        <v>3</v>
      </c>
      <c r="DI139" t="s">
        <v>219</v>
      </c>
      <c r="DJ139" t="s">
        <v>219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1007</v>
      </c>
      <c r="DV139" t="s">
        <v>39</v>
      </c>
      <c r="DW139" t="s">
        <v>39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80196140</v>
      </c>
      <c r="EF139">
        <v>1</v>
      </c>
      <c r="EG139" t="s">
        <v>23</v>
      </c>
      <c r="EH139">
        <v>0</v>
      </c>
      <c r="EI139" t="s">
        <v>3</v>
      </c>
      <c r="EJ139">
        <v>4</v>
      </c>
      <c r="EK139">
        <v>0</v>
      </c>
      <c r="EL139" t="s">
        <v>24</v>
      </c>
      <c r="EM139" t="s">
        <v>25</v>
      </c>
      <c r="EO139" t="s">
        <v>3</v>
      </c>
      <c r="EQ139">
        <v>0</v>
      </c>
      <c r="ER139">
        <v>1136.47</v>
      </c>
      <c r="ES139">
        <v>54.81</v>
      </c>
      <c r="ET139">
        <v>899.27</v>
      </c>
      <c r="EU139">
        <v>310.45999999999998</v>
      </c>
      <c r="EV139">
        <v>182.39</v>
      </c>
      <c r="EW139">
        <v>0.56000000000000005</v>
      </c>
      <c r="EX139">
        <v>0</v>
      </c>
      <c r="EY139">
        <v>0</v>
      </c>
      <c r="FQ139">
        <v>0</v>
      </c>
      <c r="FR139"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203351462</v>
      </c>
      <c r="GG139">
        <v>2</v>
      </c>
      <c r="GH139">
        <v>1</v>
      </c>
      <c r="GI139">
        <v>-2</v>
      </c>
      <c r="GJ139">
        <v>0</v>
      </c>
      <c r="GK139">
        <f>ROUND(R139*(R12)/100,2)</f>
        <v>317056.65999999997</v>
      </c>
      <c r="GL139">
        <f t="shared" si="136"/>
        <v>0</v>
      </c>
      <c r="GM139">
        <f t="shared" si="137"/>
        <v>1529677.08</v>
      </c>
      <c r="GN139">
        <f t="shared" si="138"/>
        <v>0</v>
      </c>
      <c r="GO139">
        <f t="shared" si="139"/>
        <v>0</v>
      </c>
      <c r="GP139">
        <f t="shared" si="140"/>
        <v>1529677.08</v>
      </c>
      <c r="GR139">
        <v>0</v>
      </c>
      <c r="GS139">
        <v>3</v>
      </c>
      <c r="GT139">
        <v>0</v>
      </c>
      <c r="GU139" t="s">
        <v>3</v>
      </c>
      <c r="GV139">
        <f t="shared" si="141"/>
        <v>0</v>
      </c>
      <c r="GW139">
        <v>1</v>
      </c>
      <c r="GX139">
        <f t="shared" si="142"/>
        <v>0</v>
      </c>
      <c r="HA139">
        <v>0</v>
      </c>
      <c r="HB139">
        <v>0</v>
      </c>
      <c r="HC139">
        <f t="shared" si="143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HS139">
        <v>0</v>
      </c>
      <c r="IK139">
        <v>0</v>
      </c>
    </row>
    <row r="140" spans="1:245" x14ac:dyDescent="0.25">
      <c r="A140">
        <v>17</v>
      </c>
      <c r="B140">
        <v>1</v>
      </c>
      <c r="C140">
        <f>ROW(SmtRes!A60)</f>
        <v>60</v>
      </c>
      <c r="D140">
        <f>ROW(EtalonRes!A60)</f>
        <v>60</v>
      </c>
      <c r="E140" t="s">
        <v>220</v>
      </c>
      <c r="F140" t="s">
        <v>221</v>
      </c>
      <c r="G140" t="s">
        <v>222</v>
      </c>
      <c r="H140" t="s">
        <v>223</v>
      </c>
      <c r="I140">
        <f>ROUND(4728/10,9)</f>
        <v>472.8</v>
      </c>
      <c r="J140">
        <v>0</v>
      </c>
      <c r="K140">
        <f>ROUND(4728/10,9)</f>
        <v>472.8</v>
      </c>
      <c r="O140">
        <f t="shared" si="110"/>
        <v>3184705.15</v>
      </c>
      <c r="P140">
        <f t="shared" si="111"/>
        <v>3914.78</v>
      </c>
      <c r="Q140">
        <f t="shared" si="112"/>
        <v>0</v>
      </c>
      <c r="R140">
        <f t="shared" si="113"/>
        <v>0</v>
      </c>
      <c r="S140">
        <f t="shared" si="114"/>
        <v>3180790.37</v>
      </c>
      <c r="T140">
        <f t="shared" si="115"/>
        <v>0</v>
      </c>
      <c r="U140">
        <f t="shared" si="116"/>
        <v>4482.1440000000002</v>
      </c>
      <c r="V140">
        <f t="shared" si="117"/>
        <v>0</v>
      </c>
      <c r="W140">
        <f t="shared" si="118"/>
        <v>0</v>
      </c>
      <c r="X140">
        <f t="shared" si="119"/>
        <v>2226553.2599999998</v>
      </c>
      <c r="Y140">
        <f t="shared" si="120"/>
        <v>318079.03999999998</v>
      </c>
      <c r="AA140">
        <v>80891185</v>
      </c>
      <c r="AB140">
        <f t="shared" si="121"/>
        <v>6735.84</v>
      </c>
      <c r="AC140">
        <f>ROUND(((ES140*6)),6)</f>
        <v>8.2799999999999994</v>
      </c>
      <c r="AD140">
        <f>ROUND(((((ET140*6))-((EU140*6)))+AE140),6)</f>
        <v>0</v>
      </c>
      <c r="AE140">
        <f>ROUND(((EU140*6)),6)</f>
        <v>0</v>
      </c>
      <c r="AF140">
        <f>ROUND(((EV140*6)),6)</f>
        <v>6727.56</v>
      </c>
      <c r="AG140">
        <f t="shared" si="123"/>
        <v>0</v>
      </c>
      <c r="AH140">
        <f>((EW140*6))</f>
        <v>9.48</v>
      </c>
      <c r="AI140">
        <f>((EX140*6))</f>
        <v>0</v>
      </c>
      <c r="AJ140">
        <f t="shared" si="125"/>
        <v>0</v>
      </c>
      <c r="AK140">
        <v>1122.6400000000001</v>
      </c>
      <c r="AL140">
        <v>1.38</v>
      </c>
      <c r="AM140">
        <v>0</v>
      </c>
      <c r="AN140">
        <v>0</v>
      </c>
      <c r="AO140">
        <v>1121.26</v>
      </c>
      <c r="AP140">
        <v>0</v>
      </c>
      <c r="AQ140">
        <v>1.58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224</v>
      </c>
      <c r="BM140">
        <v>0</v>
      </c>
      <c r="BN140">
        <v>0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26"/>
        <v>3184705.15</v>
      </c>
      <c r="CQ140">
        <f t="shared" si="127"/>
        <v>8.2799999999999994</v>
      </c>
      <c r="CR140">
        <f>(((((ET140*6))*BB140-((EU140*6))*BS140)+AE140*BS140)*AV140)</f>
        <v>0</v>
      </c>
      <c r="CS140">
        <f t="shared" si="128"/>
        <v>0</v>
      </c>
      <c r="CT140">
        <f t="shared" si="129"/>
        <v>6727.56</v>
      </c>
      <c r="CU140">
        <f t="shared" si="130"/>
        <v>0</v>
      </c>
      <c r="CV140">
        <f t="shared" si="131"/>
        <v>9.48</v>
      </c>
      <c r="CW140">
        <f t="shared" si="132"/>
        <v>0</v>
      </c>
      <c r="CX140">
        <f t="shared" si="133"/>
        <v>0</v>
      </c>
      <c r="CY140">
        <f t="shared" si="134"/>
        <v>2226553.2590000001</v>
      </c>
      <c r="CZ140">
        <f t="shared" si="135"/>
        <v>318079.03700000001</v>
      </c>
      <c r="DC140" t="s">
        <v>3</v>
      </c>
      <c r="DD140" t="s">
        <v>225</v>
      </c>
      <c r="DE140" t="s">
        <v>225</v>
      </c>
      <c r="DF140" t="s">
        <v>225</v>
      </c>
      <c r="DG140" t="s">
        <v>225</v>
      </c>
      <c r="DH140" t="s">
        <v>3</v>
      </c>
      <c r="DI140" t="s">
        <v>225</v>
      </c>
      <c r="DJ140" t="s">
        <v>225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1010</v>
      </c>
      <c r="DV140" t="s">
        <v>223</v>
      </c>
      <c r="DW140" t="s">
        <v>223</v>
      </c>
      <c r="DX140">
        <v>10</v>
      </c>
      <c r="DZ140" t="s">
        <v>3</v>
      </c>
      <c r="EA140" t="s">
        <v>3</v>
      </c>
      <c r="EB140" t="s">
        <v>3</v>
      </c>
      <c r="EC140" t="s">
        <v>3</v>
      </c>
      <c r="EE140">
        <v>80196140</v>
      </c>
      <c r="EF140">
        <v>1</v>
      </c>
      <c r="EG140" t="s">
        <v>23</v>
      </c>
      <c r="EH140">
        <v>0</v>
      </c>
      <c r="EI140" t="s">
        <v>3</v>
      </c>
      <c r="EJ140">
        <v>4</v>
      </c>
      <c r="EK140">
        <v>0</v>
      </c>
      <c r="EL140" t="s">
        <v>24</v>
      </c>
      <c r="EM140" t="s">
        <v>25</v>
      </c>
      <c r="EO140" t="s">
        <v>3</v>
      </c>
      <c r="EQ140">
        <v>0</v>
      </c>
      <c r="ER140">
        <v>1122.6400000000001</v>
      </c>
      <c r="ES140">
        <v>1.38</v>
      </c>
      <c r="ET140">
        <v>0</v>
      </c>
      <c r="EU140">
        <v>0</v>
      </c>
      <c r="EV140">
        <v>1121.26</v>
      </c>
      <c r="EW140">
        <v>1.58</v>
      </c>
      <c r="EX140">
        <v>0</v>
      </c>
      <c r="EY140">
        <v>0</v>
      </c>
      <c r="FQ140">
        <v>0</v>
      </c>
      <c r="FR140"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-1899280247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136"/>
        <v>0</v>
      </c>
      <c r="GM140">
        <f t="shared" si="137"/>
        <v>5729337.4500000002</v>
      </c>
      <c r="GN140">
        <f t="shared" si="138"/>
        <v>0</v>
      </c>
      <c r="GO140">
        <f t="shared" si="139"/>
        <v>0</v>
      </c>
      <c r="GP140">
        <f t="shared" si="140"/>
        <v>5729337.4500000002</v>
      </c>
      <c r="GR140">
        <v>0</v>
      </c>
      <c r="GS140">
        <v>3</v>
      </c>
      <c r="GT140">
        <v>0</v>
      </c>
      <c r="GU140" t="s">
        <v>3</v>
      </c>
      <c r="GV140">
        <f t="shared" si="141"/>
        <v>0</v>
      </c>
      <c r="GW140">
        <v>1</v>
      </c>
      <c r="GX140">
        <f t="shared" si="142"/>
        <v>0</v>
      </c>
      <c r="HA140">
        <v>0</v>
      </c>
      <c r="HB140">
        <v>0</v>
      </c>
      <c r="HC140">
        <f t="shared" si="143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HS140">
        <v>0</v>
      </c>
      <c r="IK140">
        <v>0</v>
      </c>
    </row>
    <row r="141" spans="1:245" x14ac:dyDescent="0.25">
      <c r="A141">
        <v>17</v>
      </c>
      <c r="B141">
        <v>1</v>
      </c>
      <c r="C141">
        <f>ROW(SmtRes!A63)</f>
        <v>63</v>
      </c>
      <c r="D141">
        <f>ROW(EtalonRes!A63)</f>
        <v>63</v>
      </c>
      <c r="E141" t="s">
        <v>226</v>
      </c>
      <c r="F141" t="s">
        <v>204</v>
      </c>
      <c r="G141" t="s">
        <v>227</v>
      </c>
      <c r="H141" t="s">
        <v>39</v>
      </c>
      <c r="I141">
        <v>16.925000000000001</v>
      </c>
      <c r="J141">
        <v>0</v>
      </c>
      <c r="K141">
        <v>16.925000000000001</v>
      </c>
      <c r="O141">
        <f t="shared" si="110"/>
        <v>384695.11</v>
      </c>
      <c r="P141">
        <f t="shared" si="111"/>
        <v>18553.189999999999</v>
      </c>
      <c r="Q141">
        <f t="shared" si="112"/>
        <v>304402.90000000002</v>
      </c>
      <c r="R141">
        <f t="shared" si="113"/>
        <v>105090.71</v>
      </c>
      <c r="S141">
        <f t="shared" si="114"/>
        <v>61739.02</v>
      </c>
      <c r="T141">
        <f t="shared" si="115"/>
        <v>0</v>
      </c>
      <c r="U141">
        <f t="shared" si="116"/>
        <v>189.56000000000003</v>
      </c>
      <c r="V141">
        <f t="shared" si="117"/>
        <v>0</v>
      </c>
      <c r="W141">
        <f t="shared" si="118"/>
        <v>0</v>
      </c>
      <c r="X141">
        <f t="shared" si="119"/>
        <v>43217.31</v>
      </c>
      <c r="Y141">
        <f t="shared" si="120"/>
        <v>6173.9</v>
      </c>
      <c r="AA141">
        <v>80891185</v>
      </c>
      <c r="AB141">
        <f t="shared" si="121"/>
        <v>22729.4</v>
      </c>
      <c r="AC141">
        <f>ROUND(((ES141*20)),6)</f>
        <v>1096.2</v>
      </c>
      <c r="AD141">
        <f>ROUND(((((ET141*20))-((EU141*20)))+AE141),6)</f>
        <v>17985.400000000001</v>
      </c>
      <c r="AE141">
        <f>ROUND(((EU141*20)),6)</f>
        <v>6209.2</v>
      </c>
      <c r="AF141">
        <f>ROUND(((EV141*20)),6)</f>
        <v>3647.8</v>
      </c>
      <c r="AG141">
        <f t="shared" si="123"/>
        <v>0</v>
      </c>
      <c r="AH141">
        <f>((EW141*20))</f>
        <v>11.200000000000001</v>
      </c>
      <c r="AI141">
        <f>((EX141*20))</f>
        <v>0</v>
      </c>
      <c r="AJ141">
        <f t="shared" si="125"/>
        <v>0</v>
      </c>
      <c r="AK141">
        <v>1136.47</v>
      </c>
      <c r="AL141">
        <v>54.81</v>
      </c>
      <c r="AM141">
        <v>899.27</v>
      </c>
      <c r="AN141">
        <v>310.45999999999998</v>
      </c>
      <c r="AO141">
        <v>182.39</v>
      </c>
      <c r="AP141">
        <v>0</v>
      </c>
      <c r="AQ141">
        <v>0.56000000000000005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206</v>
      </c>
      <c r="BM141">
        <v>0</v>
      </c>
      <c r="BN141">
        <v>0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26"/>
        <v>384695.11000000004</v>
      </c>
      <c r="CQ141">
        <f t="shared" si="127"/>
        <v>1096.2</v>
      </c>
      <c r="CR141">
        <f>(((((ET141*20))*BB141-((EU141*20))*BS141)+AE141*BS141)*AV141)</f>
        <v>17985.400000000001</v>
      </c>
      <c r="CS141">
        <f t="shared" si="128"/>
        <v>6209.2</v>
      </c>
      <c r="CT141">
        <f t="shared" si="129"/>
        <v>3647.8</v>
      </c>
      <c r="CU141">
        <f t="shared" si="130"/>
        <v>0</v>
      </c>
      <c r="CV141">
        <f t="shared" si="131"/>
        <v>11.200000000000001</v>
      </c>
      <c r="CW141">
        <f t="shared" si="132"/>
        <v>0</v>
      </c>
      <c r="CX141">
        <f t="shared" si="133"/>
        <v>0</v>
      </c>
      <c r="CY141">
        <f t="shared" si="134"/>
        <v>43217.313999999991</v>
      </c>
      <c r="CZ141">
        <f t="shared" si="135"/>
        <v>6173.9019999999991</v>
      </c>
      <c r="DC141" t="s">
        <v>3</v>
      </c>
      <c r="DD141" t="s">
        <v>58</v>
      </c>
      <c r="DE141" t="s">
        <v>58</v>
      </c>
      <c r="DF141" t="s">
        <v>58</v>
      </c>
      <c r="DG141" t="s">
        <v>58</v>
      </c>
      <c r="DH141" t="s">
        <v>3</v>
      </c>
      <c r="DI141" t="s">
        <v>58</v>
      </c>
      <c r="DJ141" t="s">
        <v>58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1007</v>
      </c>
      <c r="DV141" t="s">
        <v>39</v>
      </c>
      <c r="DW141" t="s">
        <v>39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80196140</v>
      </c>
      <c r="EF141">
        <v>1</v>
      </c>
      <c r="EG141" t="s">
        <v>23</v>
      </c>
      <c r="EH141">
        <v>0</v>
      </c>
      <c r="EI141" t="s">
        <v>3</v>
      </c>
      <c r="EJ141">
        <v>4</v>
      </c>
      <c r="EK141">
        <v>0</v>
      </c>
      <c r="EL141" t="s">
        <v>24</v>
      </c>
      <c r="EM141" t="s">
        <v>25</v>
      </c>
      <c r="EO141" t="s">
        <v>3</v>
      </c>
      <c r="EQ141">
        <v>0</v>
      </c>
      <c r="ER141">
        <v>1136.47</v>
      </c>
      <c r="ES141">
        <v>54.81</v>
      </c>
      <c r="ET141">
        <v>899.27</v>
      </c>
      <c r="EU141">
        <v>310.45999999999998</v>
      </c>
      <c r="EV141">
        <v>182.39</v>
      </c>
      <c r="EW141">
        <v>0.56000000000000005</v>
      </c>
      <c r="EX141">
        <v>0</v>
      </c>
      <c r="EY141">
        <v>0</v>
      </c>
      <c r="FQ141">
        <v>0</v>
      </c>
      <c r="FR141"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1162195431</v>
      </c>
      <c r="GG141">
        <v>2</v>
      </c>
      <c r="GH141">
        <v>1</v>
      </c>
      <c r="GI141">
        <v>-2</v>
      </c>
      <c r="GJ141">
        <v>0</v>
      </c>
      <c r="GK141">
        <f>ROUND(R141*(R12)/100,2)</f>
        <v>113497.97</v>
      </c>
      <c r="GL141">
        <f t="shared" si="136"/>
        <v>0</v>
      </c>
      <c r="GM141">
        <f t="shared" si="137"/>
        <v>547584.29</v>
      </c>
      <c r="GN141">
        <f t="shared" si="138"/>
        <v>0</v>
      </c>
      <c r="GO141">
        <f t="shared" si="139"/>
        <v>0</v>
      </c>
      <c r="GP141">
        <f t="shared" si="140"/>
        <v>547584.29</v>
      </c>
      <c r="GR141">
        <v>0</v>
      </c>
      <c r="GS141">
        <v>3</v>
      </c>
      <c r="GT141">
        <v>0</v>
      </c>
      <c r="GU141" t="s">
        <v>3</v>
      </c>
      <c r="GV141">
        <f t="shared" si="141"/>
        <v>0</v>
      </c>
      <c r="GW141">
        <v>1</v>
      </c>
      <c r="GX141">
        <f t="shared" si="142"/>
        <v>0</v>
      </c>
      <c r="HA141">
        <v>0</v>
      </c>
      <c r="HB141">
        <v>0</v>
      </c>
      <c r="HC141">
        <f t="shared" si="143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HS141">
        <v>0</v>
      </c>
      <c r="IK141">
        <v>0</v>
      </c>
    </row>
    <row r="142" spans="1:245" x14ac:dyDescent="0.25">
      <c r="A142">
        <v>17</v>
      </c>
      <c r="B142">
        <v>1</v>
      </c>
      <c r="C142">
        <f>ROW(SmtRes!A64)</f>
        <v>64</v>
      </c>
      <c r="D142">
        <f>ROW(EtalonRes!A64)</f>
        <v>64</v>
      </c>
      <c r="E142" t="s">
        <v>228</v>
      </c>
      <c r="F142" t="s">
        <v>229</v>
      </c>
      <c r="G142" t="s">
        <v>230</v>
      </c>
      <c r="H142" t="s">
        <v>29</v>
      </c>
      <c r="I142">
        <v>33.85</v>
      </c>
      <c r="J142">
        <v>0</v>
      </c>
      <c r="K142">
        <v>33.85</v>
      </c>
      <c r="O142">
        <f t="shared" si="110"/>
        <v>606495.18999999994</v>
      </c>
      <c r="P142">
        <f t="shared" si="111"/>
        <v>0</v>
      </c>
      <c r="Q142">
        <f t="shared" si="112"/>
        <v>0</v>
      </c>
      <c r="R142">
        <f t="shared" si="113"/>
        <v>0</v>
      </c>
      <c r="S142">
        <f t="shared" si="114"/>
        <v>606495.18999999994</v>
      </c>
      <c r="T142">
        <f t="shared" si="115"/>
        <v>0</v>
      </c>
      <c r="U142">
        <f t="shared" si="116"/>
        <v>1338.4290000000001</v>
      </c>
      <c r="V142">
        <f t="shared" si="117"/>
        <v>0</v>
      </c>
      <c r="W142">
        <f t="shared" si="118"/>
        <v>0</v>
      </c>
      <c r="X142">
        <f t="shared" si="119"/>
        <v>424546.63</v>
      </c>
      <c r="Y142">
        <f t="shared" si="120"/>
        <v>60649.52</v>
      </c>
      <c r="AA142">
        <v>80891185</v>
      </c>
      <c r="AB142">
        <f t="shared" si="121"/>
        <v>17917.14</v>
      </c>
      <c r="AC142">
        <f>ROUND(((ES142*6)),6)</f>
        <v>0</v>
      </c>
      <c r="AD142">
        <f>ROUND(((((ET142*6))-((EU142*6)))+AE142),6)</f>
        <v>0</v>
      </c>
      <c r="AE142">
        <f>ROUND(((EU142*6)),6)</f>
        <v>0</v>
      </c>
      <c r="AF142">
        <f>ROUND(((EV142*6)),6)</f>
        <v>17917.14</v>
      </c>
      <c r="AG142">
        <f t="shared" si="123"/>
        <v>0</v>
      </c>
      <c r="AH142">
        <f>((EW142*6))</f>
        <v>39.54</v>
      </c>
      <c r="AI142">
        <f>((EX142*6))</f>
        <v>0</v>
      </c>
      <c r="AJ142">
        <f t="shared" si="125"/>
        <v>0</v>
      </c>
      <c r="AK142">
        <v>2986.19</v>
      </c>
      <c r="AL142">
        <v>0</v>
      </c>
      <c r="AM142">
        <v>0</v>
      </c>
      <c r="AN142">
        <v>0</v>
      </c>
      <c r="AO142">
        <v>2986.19</v>
      </c>
      <c r="AP142">
        <v>0</v>
      </c>
      <c r="AQ142">
        <v>6.59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4</v>
      </c>
      <c r="BJ142" t="s">
        <v>231</v>
      </c>
      <c r="BM142">
        <v>0</v>
      </c>
      <c r="BN142">
        <v>0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26"/>
        <v>606495.18999999994</v>
      </c>
      <c r="CQ142">
        <f t="shared" si="127"/>
        <v>0</v>
      </c>
      <c r="CR142">
        <f>(((((ET142*6))*BB142-((EU142*6))*BS142)+AE142*BS142)*AV142)</f>
        <v>0</v>
      </c>
      <c r="CS142">
        <f t="shared" si="128"/>
        <v>0</v>
      </c>
      <c r="CT142">
        <f t="shared" si="129"/>
        <v>17917.14</v>
      </c>
      <c r="CU142">
        <f t="shared" si="130"/>
        <v>0</v>
      </c>
      <c r="CV142">
        <f t="shared" si="131"/>
        <v>39.54</v>
      </c>
      <c r="CW142">
        <f t="shared" si="132"/>
        <v>0</v>
      </c>
      <c r="CX142">
        <f t="shared" si="133"/>
        <v>0</v>
      </c>
      <c r="CY142">
        <f t="shared" si="134"/>
        <v>424546.63299999997</v>
      </c>
      <c r="CZ142">
        <f t="shared" si="135"/>
        <v>60649.518999999993</v>
      </c>
      <c r="DC142" t="s">
        <v>3</v>
      </c>
      <c r="DD142" t="s">
        <v>225</v>
      </c>
      <c r="DE142" t="s">
        <v>225</v>
      </c>
      <c r="DF142" t="s">
        <v>225</v>
      </c>
      <c r="DG142" t="s">
        <v>225</v>
      </c>
      <c r="DH142" t="s">
        <v>3</v>
      </c>
      <c r="DI142" t="s">
        <v>225</v>
      </c>
      <c r="DJ142" t="s">
        <v>225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1005</v>
      </c>
      <c r="DV142" t="s">
        <v>29</v>
      </c>
      <c r="DW142" t="s">
        <v>29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80196140</v>
      </c>
      <c r="EF142">
        <v>1</v>
      </c>
      <c r="EG142" t="s">
        <v>23</v>
      </c>
      <c r="EH142">
        <v>0</v>
      </c>
      <c r="EI142" t="s">
        <v>3</v>
      </c>
      <c r="EJ142">
        <v>4</v>
      </c>
      <c r="EK142">
        <v>0</v>
      </c>
      <c r="EL142" t="s">
        <v>24</v>
      </c>
      <c r="EM142" t="s">
        <v>25</v>
      </c>
      <c r="EO142" t="s">
        <v>3</v>
      </c>
      <c r="EQ142">
        <v>0</v>
      </c>
      <c r="ER142">
        <v>2986.19</v>
      </c>
      <c r="ES142">
        <v>0</v>
      </c>
      <c r="ET142">
        <v>0</v>
      </c>
      <c r="EU142">
        <v>0</v>
      </c>
      <c r="EV142">
        <v>2986.19</v>
      </c>
      <c r="EW142">
        <v>6.59</v>
      </c>
      <c r="EX142">
        <v>0</v>
      </c>
      <c r="EY142">
        <v>0</v>
      </c>
      <c r="FQ142">
        <v>0</v>
      </c>
      <c r="FR142"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-831351432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36"/>
        <v>0</v>
      </c>
      <c r="GM142">
        <f t="shared" si="137"/>
        <v>1091691.3400000001</v>
      </c>
      <c r="GN142">
        <f t="shared" si="138"/>
        <v>0</v>
      </c>
      <c r="GO142">
        <f t="shared" si="139"/>
        <v>0</v>
      </c>
      <c r="GP142">
        <f t="shared" si="140"/>
        <v>1091691.3400000001</v>
      </c>
      <c r="GR142">
        <v>0</v>
      </c>
      <c r="GS142">
        <v>3</v>
      </c>
      <c r="GT142">
        <v>0</v>
      </c>
      <c r="GU142" t="s">
        <v>3</v>
      </c>
      <c r="GV142">
        <f t="shared" si="141"/>
        <v>0</v>
      </c>
      <c r="GW142">
        <v>1</v>
      </c>
      <c r="GX142">
        <f t="shared" si="142"/>
        <v>0</v>
      </c>
      <c r="HA142">
        <v>0</v>
      </c>
      <c r="HB142">
        <v>0</v>
      </c>
      <c r="HC142">
        <f t="shared" si="143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HS142">
        <v>0</v>
      </c>
      <c r="IK142">
        <v>0</v>
      </c>
    </row>
    <row r="143" spans="1:245" x14ac:dyDescent="0.25">
      <c r="A143">
        <v>17</v>
      </c>
      <c r="B143">
        <v>1</v>
      </c>
      <c r="C143">
        <f>ROW(SmtRes!A68)</f>
        <v>68</v>
      </c>
      <c r="D143">
        <f>ROW(EtalonRes!A68)</f>
        <v>68</v>
      </c>
      <c r="E143" t="s">
        <v>232</v>
      </c>
      <c r="F143" t="s">
        <v>233</v>
      </c>
      <c r="G143" t="s">
        <v>234</v>
      </c>
      <c r="H143" t="s">
        <v>29</v>
      </c>
      <c r="I143">
        <f>ROUND(3385/100,9)</f>
        <v>33.85</v>
      </c>
      <c r="J143">
        <v>0</v>
      </c>
      <c r="K143">
        <f>ROUND(3385/100,9)</f>
        <v>33.85</v>
      </c>
      <c r="O143">
        <f t="shared" si="110"/>
        <v>9397.4500000000007</v>
      </c>
      <c r="P143">
        <f t="shared" si="111"/>
        <v>37.24</v>
      </c>
      <c r="Q143">
        <f t="shared" si="112"/>
        <v>1334.37</v>
      </c>
      <c r="R143">
        <f t="shared" si="113"/>
        <v>2.71</v>
      </c>
      <c r="S143">
        <f t="shared" si="114"/>
        <v>8025.84</v>
      </c>
      <c r="T143">
        <f t="shared" si="115"/>
        <v>0</v>
      </c>
      <c r="U143">
        <f t="shared" si="116"/>
        <v>12.186</v>
      </c>
      <c r="V143">
        <f t="shared" si="117"/>
        <v>0</v>
      </c>
      <c r="W143">
        <f t="shared" si="118"/>
        <v>0</v>
      </c>
      <c r="X143">
        <f t="shared" si="119"/>
        <v>5618.09</v>
      </c>
      <c r="Y143">
        <f t="shared" si="120"/>
        <v>802.58</v>
      </c>
      <c r="AA143">
        <v>80891185</v>
      </c>
      <c r="AB143">
        <f t="shared" si="121"/>
        <v>277.62</v>
      </c>
      <c r="AC143">
        <f>ROUND(((ES143*2)),6)</f>
        <v>1.1000000000000001</v>
      </c>
      <c r="AD143">
        <f>ROUND(((((ET143*2))-((EU143*2)))+AE143),6)</f>
        <v>39.42</v>
      </c>
      <c r="AE143">
        <f>ROUND(((EU143*2)),6)</f>
        <v>0.08</v>
      </c>
      <c r="AF143">
        <f>ROUND(((EV143*2)),6)</f>
        <v>237.1</v>
      </c>
      <c r="AG143">
        <f t="shared" si="123"/>
        <v>0</v>
      </c>
      <c r="AH143">
        <f>((EW143*2))</f>
        <v>0.36</v>
      </c>
      <c r="AI143">
        <f>((EX143*2))</f>
        <v>0</v>
      </c>
      <c r="AJ143">
        <f t="shared" si="125"/>
        <v>0</v>
      </c>
      <c r="AK143">
        <v>138.81</v>
      </c>
      <c r="AL143">
        <v>0.55000000000000004</v>
      </c>
      <c r="AM143">
        <v>19.71</v>
      </c>
      <c r="AN143">
        <v>0.04</v>
      </c>
      <c r="AO143">
        <v>118.55</v>
      </c>
      <c r="AP143">
        <v>0</v>
      </c>
      <c r="AQ143">
        <v>0.18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4</v>
      </c>
      <c r="BJ143" t="s">
        <v>235</v>
      </c>
      <c r="BM143">
        <v>0</v>
      </c>
      <c r="BN143">
        <v>0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26"/>
        <v>9397.4500000000007</v>
      </c>
      <c r="CQ143">
        <f t="shared" si="127"/>
        <v>1.1000000000000001</v>
      </c>
      <c r="CR143">
        <f>(((((ET143*2))*BB143-((EU143*2))*BS143)+AE143*BS143)*AV143)</f>
        <v>39.42</v>
      </c>
      <c r="CS143">
        <f t="shared" si="128"/>
        <v>0.08</v>
      </c>
      <c r="CT143">
        <f t="shared" si="129"/>
        <v>237.1</v>
      </c>
      <c r="CU143">
        <f t="shared" si="130"/>
        <v>0</v>
      </c>
      <c r="CV143">
        <f t="shared" si="131"/>
        <v>0.36</v>
      </c>
      <c r="CW143">
        <f t="shared" si="132"/>
        <v>0</v>
      </c>
      <c r="CX143">
        <f t="shared" si="133"/>
        <v>0</v>
      </c>
      <c r="CY143">
        <f t="shared" si="134"/>
        <v>5618.0880000000006</v>
      </c>
      <c r="CZ143">
        <f t="shared" si="135"/>
        <v>802.58399999999995</v>
      </c>
      <c r="DC143" t="s">
        <v>3</v>
      </c>
      <c r="DD143" t="s">
        <v>181</v>
      </c>
      <c r="DE143" t="s">
        <v>181</v>
      </c>
      <c r="DF143" t="s">
        <v>181</v>
      </c>
      <c r="DG143" t="s">
        <v>181</v>
      </c>
      <c r="DH143" t="s">
        <v>3</v>
      </c>
      <c r="DI143" t="s">
        <v>181</v>
      </c>
      <c r="DJ143" t="s">
        <v>181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1005</v>
      </c>
      <c r="DV143" t="s">
        <v>29</v>
      </c>
      <c r="DW143" t="s">
        <v>29</v>
      </c>
      <c r="DX143">
        <v>100</v>
      </c>
      <c r="DZ143" t="s">
        <v>3</v>
      </c>
      <c r="EA143" t="s">
        <v>3</v>
      </c>
      <c r="EB143" t="s">
        <v>3</v>
      </c>
      <c r="EC143" t="s">
        <v>3</v>
      </c>
      <c r="EE143">
        <v>80196140</v>
      </c>
      <c r="EF143">
        <v>1</v>
      </c>
      <c r="EG143" t="s">
        <v>23</v>
      </c>
      <c r="EH143">
        <v>0</v>
      </c>
      <c r="EI143" t="s">
        <v>3</v>
      </c>
      <c r="EJ143">
        <v>4</v>
      </c>
      <c r="EK143">
        <v>0</v>
      </c>
      <c r="EL143" t="s">
        <v>24</v>
      </c>
      <c r="EM143" t="s">
        <v>25</v>
      </c>
      <c r="EO143" t="s">
        <v>3</v>
      </c>
      <c r="EQ143">
        <v>0</v>
      </c>
      <c r="ER143">
        <v>138.81</v>
      </c>
      <c r="ES143">
        <v>0.55000000000000004</v>
      </c>
      <c r="ET143">
        <v>19.71</v>
      </c>
      <c r="EU143">
        <v>0.04</v>
      </c>
      <c r="EV143">
        <v>118.55</v>
      </c>
      <c r="EW143">
        <v>0.18</v>
      </c>
      <c r="EX143">
        <v>0</v>
      </c>
      <c r="EY143">
        <v>0</v>
      </c>
      <c r="FQ143">
        <v>0</v>
      </c>
      <c r="FR143"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-1232621699</v>
      </c>
      <c r="GG143">
        <v>2</v>
      </c>
      <c r="GH143">
        <v>1</v>
      </c>
      <c r="GI143">
        <v>-2</v>
      </c>
      <c r="GJ143">
        <v>0</v>
      </c>
      <c r="GK143">
        <f>ROUND(R143*(R12)/100,2)</f>
        <v>2.93</v>
      </c>
      <c r="GL143">
        <f t="shared" si="136"/>
        <v>0</v>
      </c>
      <c r="GM143">
        <f t="shared" si="137"/>
        <v>15821.05</v>
      </c>
      <c r="GN143">
        <f t="shared" si="138"/>
        <v>0</v>
      </c>
      <c r="GO143">
        <f t="shared" si="139"/>
        <v>0</v>
      </c>
      <c r="GP143">
        <f t="shared" si="140"/>
        <v>15821.05</v>
      </c>
      <c r="GR143">
        <v>0</v>
      </c>
      <c r="GS143">
        <v>3</v>
      </c>
      <c r="GT143">
        <v>0</v>
      </c>
      <c r="GU143" t="s">
        <v>3</v>
      </c>
      <c r="GV143">
        <f t="shared" si="141"/>
        <v>0</v>
      </c>
      <c r="GW143">
        <v>1</v>
      </c>
      <c r="GX143">
        <f t="shared" si="142"/>
        <v>0</v>
      </c>
      <c r="HA143">
        <v>0</v>
      </c>
      <c r="HB143">
        <v>0</v>
      </c>
      <c r="HC143">
        <f t="shared" si="143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HS143">
        <v>0</v>
      </c>
      <c r="IK143">
        <v>0</v>
      </c>
    </row>
    <row r="144" spans="1:245" x14ac:dyDescent="0.25">
      <c r="A144">
        <v>18</v>
      </c>
      <c r="B144">
        <v>1</v>
      </c>
      <c r="C144">
        <v>68</v>
      </c>
      <c r="E144" t="s">
        <v>236</v>
      </c>
      <c r="F144" t="s">
        <v>237</v>
      </c>
      <c r="G144" t="s">
        <v>238</v>
      </c>
      <c r="H144" t="s">
        <v>239</v>
      </c>
      <c r="I144">
        <f>I143*J144</f>
        <v>6.77</v>
      </c>
      <c r="J144">
        <v>0.19999999999999998</v>
      </c>
      <c r="K144">
        <v>0.1</v>
      </c>
      <c r="O144">
        <f t="shared" si="110"/>
        <v>6417.76</v>
      </c>
      <c r="P144">
        <f t="shared" si="111"/>
        <v>6417.76</v>
      </c>
      <c r="Q144">
        <f t="shared" si="112"/>
        <v>0</v>
      </c>
      <c r="R144">
        <f t="shared" si="113"/>
        <v>0</v>
      </c>
      <c r="S144">
        <f t="shared" si="114"/>
        <v>0</v>
      </c>
      <c r="T144">
        <f t="shared" si="115"/>
        <v>0</v>
      </c>
      <c r="U144">
        <f t="shared" si="116"/>
        <v>0</v>
      </c>
      <c r="V144">
        <f t="shared" si="117"/>
        <v>0</v>
      </c>
      <c r="W144">
        <f t="shared" si="118"/>
        <v>0</v>
      </c>
      <c r="X144">
        <f t="shared" si="119"/>
        <v>0</v>
      </c>
      <c r="Y144">
        <f t="shared" si="120"/>
        <v>0</v>
      </c>
      <c r="AA144">
        <v>80891185</v>
      </c>
      <c r="AB144">
        <f t="shared" si="121"/>
        <v>947.97</v>
      </c>
      <c r="AC144">
        <f>ROUND((ES144),6)</f>
        <v>947.97</v>
      </c>
      <c r="AD144">
        <f>ROUND((((ET144)-(EU144))+AE144),6)</f>
        <v>0</v>
      </c>
      <c r="AE144">
        <f>ROUND((EU144),6)</f>
        <v>0</v>
      </c>
      <c r="AF144">
        <f>ROUND((EV144),6)</f>
        <v>0</v>
      </c>
      <c r="AG144">
        <f t="shared" si="123"/>
        <v>0</v>
      </c>
      <c r="AH144">
        <f>(EW144)</f>
        <v>0</v>
      </c>
      <c r="AI144">
        <f>(EX144)</f>
        <v>0</v>
      </c>
      <c r="AJ144">
        <f t="shared" si="125"/>
        <v>0</v>
      </c>
      <c r="AK144">
        <v>947.97</v>
      </c>
      <c r="AL144">
        <v>947.97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3</v>
      </c>
      <c r="BI144">
        <v>4</v>
      </c>
      <c r="BJ144" t="s">
        <v>240</v>
      </c>
      <c r="BM144">
        <v>0</v>
      </c>
      <c r="BN144">
        <v>0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26"/>
        <v>6417.76</v>
      </c>
      <c r="CQ144">
        <f t="shared" si="127"/>
        <v>947.97</v>
      </c>
      <c r="CR144">
        <f>((((ET144)*BB144-(EU144)*BS144)+AE144*BS144)*AV144)</f>
        <v>0</v>
      </c>
      <c r="CS144">
        <f t="shared" si="128"/>
        <v>0</v>
      </c>
      <c r="CT144">
        <f t="shared" si="129"/>
        <v>0</v>
      </c>
      <c r="CU144">
        <f t="shared" si="130"/>
        <v>0</v>
      </c>
      <c r="CV144">
        <f t="shared" si="131"/>
        <v>0</v>
      </c>
      <c r="CW144">
        <f t="shared" si="132"/>
        <v>0</v>
      </c>
      <c r="CX144">
        <f t="shared" si="133"/>
        <v>0</v>
      </c>
      <c r="CY144">
        <f t="shared" si="134"/>
        <v>0</v>
      </c>
      <c r="CZ144">
        <f t="shared" si="135"/>
        <v>0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1002</v>
      </c>
      <c r="DV144" t="s">
        <v>239</v>
      </c>
      <c r="DW144" t="s">
        <v>239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80196140</v>
      </c>
      <c r="EF144">
        <v>1</v>
      </c>
      <c r="EG144" t="s">
        <v>23</v>
      </c>
      <c r="EH144">
        <v>0</v>
      </c>
      <c r="EI144" t="s">
        <v>3</v>
      </c>
      <c r="EJ144">
        <v>4</v>
      </c>
      <c r="EK144">
        <v>0</v>
      </c>
      <c r="EL144" t="s">
        <v>24</v>
      </c>
      <c r="EM144" t="s">
        <v>25</v>
      </c>
      <c r="EO144" t="s">
        <v>3</v>
      </c>
      <c r="EQ144">
        <v>0</v>
      </c>
      <c r="ER144">
        <v>947.97</v>
      </c>
      <c r="ES144">
        <v>947.97</v>
      </c>
      <c r="ET144">
        <v>0</v>
      </c>
      <c r="EU144">
        <v>0</v>
      </c>
      <c r="EV144">
        <v>0</v>
      </c>
      <c r="EW144">
        <v>0</v>
      </c>
      <c r="EX144">
        <v>0</v>
      </c>
      <c r="FQ144">
        <v>0</v>
      </c>
      <c r="FR144"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1267865924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36"/>
        <v>0</v>
      </c>
      <c r="GM144">
        <f t="shared" si="137"/>
        <v>6417.76</v>
      </c>
      <c r="GN144">
        <f t="shared" si="138"/>
        <v>0</v>
      </c>
      <c r="GO144">
        <f t="shared" si="139"/>
        <v>0</v>
      </c>
      <c r="GP144">
        <f t="shared" si="140"/>
        <v>6417.76</v>
      </c>
      <c r="GR144">
        <v>0</v>
      </c>
      <c r="GS144">
        <v>3</v>
      </c>
      <c r="GT144">
        <v>0</v>
      </c>
      <c r="GU144" t="s">
        <v>3</v>
      </c>
      <c r="GV144">
        <f t="shared" si="141"/>
        <v>0</v>
      </c>
      <c r="GW144">
        <v>1</v>
      </c>
      <c r="GX144">
        <f t="shared" si="142"/>
        <v>0</v>
      </c>
      <c r="HA144">
        <v>0</v>
      </c>
      <c r="HB144">
        <v>0</v>
      </c>
      <c r="HC144">
        <f t="shared" si="143"/>
        <v>0</v>
      </c>
      <c r="HE144" t="s">
        <v>3</v>
      </c>
      <c r="HF144" t="s">
        <v>3</v>
      </c>
      <c r="HM144" t="s">
        <v>181</v>
      </c>
      <c r="HN144" t="s">
        <v>3</v>
      </c>
      <c r="HO144" t="s">
        <v>3</v>
      </c>
      <c r="HP144" t="s">
        <v>3</v>
      </c>
      <c r="HQ144" t="s">
        <v>3</v>
      </c>
      <c r="HS144">
        <v>0</v>
      </c>
      <c r="IK144">
        <v>0</v>
      </c>
    </row>
    <row r="145" spans="1:245" x14ac:dyDescent="0.25">
      <c r="A145">
        <v>17</v>
      </c>
      <c r="B145">
        <v>1</v>
      </c>
      <c r="C145">
        <f>ROW(SmtRes!A69)</f>
        <v>69</v>
      </c>
      <c r="D145">
        <f>ROW(EtalonRes!A69)</f>
        <v>69</v>
      </c>
      <c r="E145" t="s">
        <v>241</v>
      </c>
      <c r="F145" t="s">
        <v>242</v>
      </c>
      <c r="G145" t="s">
        <v>243</v>
      </c>
      <c r="H145" t="s">
        <v>29</v>
      </c>
      <c r="I145">
        <f>ROUND(3385/100,9)</f>
        <v>33.85</v>
      </c>
      <c r="J145">
        <v>0</v>
      </c>
      <c r="K145">
        <f>ROUND(3385/100,9)</f>
        <v>33.85</v>
      </c>
      <c r="O145">
        <f t="shared" si="110"/>
        <v>73088.58</v>
      </c>
      <c r="P145">
        <f t="shared" si="111"/>
        <v>0</v>
      </c>
      <c r="Q145">
        <f t="shared" si="112"/>
        <v>0</v>
      </c>
      <c r="R145">
        <f t="shared" si="113"/>
        <v>0</v>
      </c>
      <c r="S145">
        <f t="shared" si="114"/>
        <v>73088.58</v>
      </c>
      <c r="T145">
        <f t="shared" si="115"/>
        <v>0</v>
      </c>
      <c r="U145">
        <f t="shared" si="116"/>
        <v>144.20099999999999</v>
      </c>
      <c r="V145">
        <f t="shared" si="117"/>
        <v>0</v>
      </c>
      <c r="W145">
        <f t="shared" si="118"/>
        <v>0</v>
      </c>
      <c r="X145">
        <f t="shared" si="119"/>
        <v>51162.01</v>
      </c>
      <c r="Y145">
        <f t="shared" si="120"/>
        <v>7308.86</v>
      </c>
      <c r="AA145">
        <v>80891185</v>
      </c>
      <c r="AB145">
        <f t="shared" si="121"/>
        <v>2159.19</v>
      </c>
      <c r="AC145">
        <f>ROUND(((ES145*3)),6)</f>
        <v>0</v>
      </c>
      <c r="AD145">
        <f>ROUND(((((ET145*3))-((EU145*3)))+AE145),6)</f>
        <v>0</v>
      </c>
      <c r="AE145">
        <f>ROUND(((EU145*3)),6)</f>
        <v>0</v>
      </c>
      <c r="AF145">
        <f>ROUND(((EV145*3)),6)</f>
        <v>2159.19</v>
      </c>
      <c r="AG145">
        <f t="shared" si="123"/>
        <v>0</v>
      </c>
      <c r="AH145">
        <f>((EW145*3))</f>
        <v>4.26</v>
      </c>
      <c r="AI145">
        <f>((EX145*3))</f>
        <v>0</v>
      </c>
      <c r="AJ145">
        <f t="shared" si="125"/>
        <v>0</v>
      </c>
      <c r="AK145">
        <v>719.73</v>
      </c>
      <c r="AL145">
        <v>0</v>
      </c>
      <c r="AM145">
        <v>0</v>
      </c>
      <c r="AN145">
        <v>0</v>
      </c>
      <c r="AO145">
        <v>719.73</v>
      </c>
      <c r="AP145">
        <v>0</v>
      </c>
      <c r="AQ145">
        <v>1.42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4</v>
      </c>
      <c r="BJ145" t="s">
        <v>244</v>
      </c>
      <c r="BM145">
        <v>0</v>
      </c>
      <c r="BN145">
        <v>0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26"/>
        <v>73088.58</v>
      </c>
      <c r="CQ145">
        <f t="shared" si="127"/>
        <v>0</v>
      </c>
      <c r="CR145">
        <f>(((((ET145*3))*BB145-((EU145*3))*BS145)+AE145*BS145)*AV145)</f>
        <v>0</v>
      </c>
      <c r="CS145">
        <f t="shared" si="128"/>
        <v>0</v>
      </c>
      <c r="CT145">
        <f t="shared" si="129"/>
        <v>2159.19</v>
      </c>
      <c r="CU145">
        <f t="shared" si="130"/>
        <v>0</v>
      </c>
      <c r="CV145">
        <f t="shared" si="131"/>
        <v>4.26</v>
      </c>
      <c r="CW145">
        <f t="shared" si="132"/>
        <v>0</v>
      </c>
      <c r="CX145">
        <f t="shared" si="133"/>
        <v>0</v>
      </c>
      <c r="CY145">
        <f t="shared" si="134"/>
        <v>51162.006000000008</v>
      </c>
      <c r="CZ145">
        <f t="shared" si="135"/>
        <v>7308.8580000000002</v>
      </c>
      <c r="DC145" t="s">
        <v>3</v>
      </c>
      <c r="DD145" t="s">
        <v>245</v>
      </c>
      <c r="DE145" t="s">
        <v>245</v>
      </c>
      <c r="DF145" t="s">
        <v>245</v>
      </c>
      <c r="DG145" t="s">
        <v>245</v>
      </c>
      <c r="DH145" t="s">
        <v>3</v>
      </c>
      <c r="DI145" t="s">
        <v>245</v>
      </c>
      <c r="DJ145" t="s">
        <v>245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1005</v>
      </c>
      <c r="DV145" t="s">
        <v>29</v>
      </c>
      <c r="DW145" t="s">
        <v>29</v>
      </c>
      <c r="DX145">
        <v>100</v>
      </c>
      <c r="DZ145" t="s">
        <v>3</v>
      </c>
      <c r="EA145" t="s">
        <v>3</v>
      </c>
      <c r="EB145" t="s">
        <v>3</v>
      </c>
      <c r="EC145" t="s">
        <v>3</v>
      </c>
      <c r="EE145">
        <v>80196140</v>
      </c>
      <c r="EF145">
        <v>1</v>
      </c>
      <c r="EG145" t="s">
        <v>23</v>
      </c>
      <c r="EH145">
        <v>0</v>
      </c>
      <c r="EI145" t="s">
        <v>3</v>
      </c>
      <c r="EJ145">
        <v>4</v>
      </c>
      <c r="EK145">
        <v>0</v>
      </c>
      <c r="EL145" t="s">
        <v>24</v>
      </c>
      <c r="EM145" t="s">
        <v>25</v>
      </c>
      <c r="EO145" t="s">
        <v>3</v>
      </c>
      <c r="EQ145">
        <v>0</v>
      </c>
      <c r="ER145">
        <v>719.73</v>
      </c>
      <c r="ES145">
        <v>0</v>
      </c>
      <c r="ET145">
        <v>0</v>
      </c>
      <c r="EU145">
        <v>0</v>
      </c>
      <c r="EV145">
        <v>719.73</v>
      </c>
      <c r="EW145">
        <v>1.42</v>
      </c>
      <c r="EX145">
        <v>0</v>
      </c>
      <c r="EY145">
        <v>0</v>
      </c>
      <c r="FQ145">
        <v>0</v>
      </c>
      <c r="FR145"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242064973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36"/>
        <v>0</v>
      </c>
      <c r="GM145">
        <f t="shared" si="137"/>
        <v>131559.45000000001</v>
      </c>
      <c r="GN145">
        <f t="shared" si="138"/>
        <v>0</v>
      </c>
      <c r="GO145">
        <f t="shared" si="139"/>
        <v>0</v>
      </c>
      <c r="GP145">
        <f t="shared" si="140"/>
        <v>131559.45000000001</v>
      </c>
      <c r="GR145">
        <v>0</v>
      </c>
      <c r="GS145">
        <v>3</v>
      </c>
      <c r="GT145">
        <v>0</v>
      </c>
      <c r="GU145" t="s">
        <v>3</v>
      </c>
      <c r="GV145">
        <f t="shared" si="141"/>
        <v>0</v>
      </c>
      <c r="GW145">
        <v>1</v>
      </c>
      <c r="GX145">
        <f t="shared" si="142"/>
        <v>0</v>
      </c>
      <c r="HA145">
        <v>0</v>
      </c>
      <c r="HB145">
        <v>0</v>
      </c>
      <c r="HC145">
        <f t="shared" si="143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HS145">
        <v>0</v>
      </c>
      <c r="IK145">
        <v>0</v>
      </c>
    </row>
    <row r="146" spans="1:245" x14ac:dyDescent="0.25">
      <c r="A146">
        <v>17</v>
      </c>
      <c r="B146">
        <v>1</v>
      </c>
      <c r="C146">
        <f>ROW(SmtRes!A72)</f>
        <v>72</v>
      </c>
      <c r="D146">
        <f>ROW(EtalonRes!A72)</f>
        <v>72</v>
      </c>
      <c r="E146" t="s">
        <v>246</v>
      </c>
      <c r="F146" t="s">
        <v>204</v>
      </c>
      <c r="G146" t="s">
        <v>247</v>
      </c>
      <c r="H146" t="s">
        <v>39</v>
      </c>
      <c r="I146">
        <v>14.76</v>
      </c>
      <c r="J146">
        <v>0</v>
      </c>
      <c r="K146">
        <v>14.76</v>
      </c>
      <c r="O146">
        <f t="shared" si="110"/>
        <v>16774.310000000001</v>
      </c>
      <c r="P146">
        <f t="shared" si="111"/>
        <v>809</v>
      </c>
      <c r="Q146">
        <f t="shared" si="112"/>
        <v>13273.23</v>
      </c>
      <c r="R146">
        <f t="shared" si="113"/>
        <v>4582.3900000000003</v>
      </c>
      <c r="S146">
        <f t="shared" si="114"/>
        <v>2692.08</v>
      </c>
      <c r="T146">
        <f t="shared" si="115"/>
        <v>0</v>
      </c>
      <c r="U146">
        <f t="shared" si="116"/>
        <v>8.2656000000000009</v>
      </c>
      <c r="V146">
        <f t="shared" si="117"/>
        <v>0</v>
      </c>
      <c r="W146">
        <f t="shared" si="118"/>
        <v>0</v>
      </c>
      <c r="X146">
        <f t="shared" si="119"/>
        <v>1884.46</v>
      </c>
      <c r="Y146">
        <f t="shared" si="120"/>
        <v>269.20999999999998</v>
      </c>
      <c r="AA146">
        <v>80891185</v>
      </c>
      <c r="AB146">
        <f t="shared" si="121"/>
        <v>1136.47</v>
      </c>
      <c r="AC146">
        <f>ROUND((ES146),6)</f>
        <v>54.81</v>
      </c>
      <c r="AD146">
        <f>ROUND((((ET146)-(EU146))+AE146),6)</f>
        <v>899.27</v>
      </c>
      <c r="AE146">
        <f>ROUND((EU146),6)</f>
        <v>310.45999999999998</v>
      </c>
      <c r="AF146">
        <f>ROUND((EV146),6)</f>
        <v>182.39</v>
      </c>
      <c r="AG146">
        <f t="shared" si="123"/>
        <v>0</v>
      </c>
      <c r="AH146">
        <f>(EW146)</f>
        <v>0.56000000000000005</v>
      </c>
      <c r="AI146">
        <f>(EX146)</f>
        <v>0</v>
      </c>
      <c r="AJ146">
        <f t="shared" si="125"/>
        <v>0</v>
      </c>
      <c r="AK146">
        <v>1136.47</v>
      </c>
      <c r="AL146">
        <v>54.81</v>
      </c>
      <c r="AM146">
        <v>899.27</v>
      </c>
      <c r="AN146">
        <v>310.45999999999998</v>
      </c>
      <c r="AO146">
        <v>182.39</v>
      </c>
      <c r="AP146">
        <v>0</v>
      </c>
      <c r="AQ146">
        <v>0.56000000000000005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4</v>
      </c>
      <c r="BJ146" t="s">
        <v>206</v>
      </c>
      <c r="BM146">
        <v>0</v>
      </c>
      <c r="BN146">
        <v>0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26"/>
        <v>16774.309999999998</v>
      </c>
      <c r="CQ146">
        <f t="shared" si="127"/>
        <v>54.81</v>
      </c>
      <c r="CR146">
        <f>((((ET146)*BB146-(EU146)*BS146)+AE146*BS146)*AV146)</f>
        <v>899.27</v>
      </c>
      <c r="CS146">
        <f t="shared" si="128"/>
        <v>310.45999999999998</v>
      </c>
      <c r="CT146">
        <f t="shared" si="129"/>
        <v>182.39</v>
      </c>
      <c r="CU146">
        <f t="shared" si="130"/>
        <v>0</v>
      </c>
      <c r="CV146">
        <f t="shared" si="131"/>
        <v>0.56000000000000005</v>
      </c>
      <c r="CW146">
        <f t="shared" si="132"/>
        <v>0</v>
      </c>
      <c r="CX146">
        <f t="shared" si="133"/>
        <v>0</v>
      </c>
      <c r="CY146">
        <f t="shared" si="134"/>
        <v>1884.4560000000001</v>
      </c>
      <c r="CZ146">
        <f t="shared" si="135"/>
        <v>269.20799999999997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1007</v>
      </c>
      <c r="DV146" t="s">
        <v>39</v>
      </c>
      <c r="DW146" t="s">
        <v>39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80196140</v>
      </c>
      <c r="EF146">
        <v>1</v>
      </c>
      <c r="EG146" t="s">
        <v>23</v>
      </c>
      <c r="EH146">
        <v>0</v>
      </c>
      <c r="EI146" t="s">
        <v>3</v>
      </c>
      <c r="EJ146">
        <v>4</v>
      </c>
      <c r="EK146">
        <v>0</v>
      </c>
      <c r="EL146" t="s">
        <v>24</v>
      </c>
      <c r="EM146" t="s">
        <v>25</v>
      </c>
      <c r="EO146" t="s">
        <v>3</v>
      </c>
      <c r="EQ146">
        <v>0</v>
      </c>
      <c r="ER146">
        <v>1136.47</v>
      </c>
      <c r="ES146">
        <v>54.81</v>
      </c>
      <c r="ET146">
        <v>899.27</v>
      </c>
      <c r="EU146">
        <v>310.45999999999998</v>
      </c>
      <c r="EV146">
        <v>182.39</v>
      </c>
      <c r="EW146">
        <v>0.56000000000000005</v>
      </c>
      <c r="EX146">
        <v>0</v>
      </c>
      <c r="EY146">
        <v>0</v>
      </c>
      <c r="FQ146">
        <v>0</v>
      </c>
      <c r="FR146"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1703893866</v>
      </c>
      <c r="GG146">
        <v>2</v>
      </c>
      <c r="GH146">
        <v>1</v>
      </c>
      <c r="GI146">
        <v>-2</v>
      </c>
      <c r="GJ146">
        <v>0</v>
      </c>
      <c r="GK146">
        <f>ROUND(R146*(R12)/100,2)</f>
        <v>4948.9799999999996</v>
      </c>
      <c r="GL146">
        <f t="shared" si="136"/>
        <v>0</v>
      </c>
      <c r="GM146">
        <f t="shared" si="137"/>
        <v>23876.959999999999</v>
      </c>
      <c r="GN146">
        <f t="shared" si="138"/>
        <v>0</v>
      </c>
      <c r="GO146">
        <f t="shared" si="139"/>
        <v>0</v>
      </c>
      <c r="GP146">
        <f t="shared" si="140"/>
        <v>23876.959999999999</v>
      </c>
      <c r="GR146">
        <v>0</v>
      </c>
      <c r="GS146">
        <v>3</v>
      </c>
      <c r="GT146">
        <v>0</v>
      </c>
      <c r="GU146" t="s">
        <v>3</v>
      </c>
      <c r="GV146">
        <f t="shared" si="141"/>
        <v>0</v>
      </c>
      <c r="GW146">
        <v>1</v>
      </c>
      <c r="GX146">
        <f t="shared" si="142"/>
        <v>0</v>
      </c>
      <c r="HA146">
        <v>0</v>
      </c>
      <c r="HB146">
        <v>0</v>
      </c>
      <c r="HC146">
        <f t="shared" si="143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HS146">
        <v>0</v>
      </c>
      <c r="IK146">
        <v>0</v>
      </c>
    </row>
    <row r="148" spans="1:245" ht="13" x14ac:dyDescent="0.3">
      <c r="A148" s="2">
        <v>51</v>
      </c>
      <c r="B148" s="2">
        <f>B126</f>
        <v>1</v>
      </c>
      <c r="C148" s="2">
        <f>A126</f>
        <v>5</v>
      </c>
      <c r="D148" s="2">
        <f>ROW(A126)</f>
        <v>126</v>
      </c>
      <c r="E148" s="2"/>
      <c r="F148" s="2" t="str">
        <f>IF(F126&lt;&gt;"",F126,"")</f>
        <v>Новый подраздел</v>
      </c>
      <c r="G148" s="2" t="str">
        <f>IF(G126&lt;&gt;"",G126,"")</f>
        <v xml:space="preserve">Подраздел: УХОД ЗА ЗЕЛЕНЫМИ НАСАЖДЕНИЯМИ </v>
      </c>
      <c r="H148" s="2">
        <v>0</v>
      </c>
      <c r="I148" s="2"/>
      <c r="J148" s="2"/>
      <c r="K148" s="2"/>
      <c r="L148" s="2"/>
      <c r="M148" s="2"/>
      <c r="N148" s="2"/>
      <c r="O148" s="2">
        <f t="shared" ref="O148:T148" si="146">ROUND(AB148,2)</f>
        <v>27047653.239999998</v>
      </c>
      <c r="P148" s="2">
        <f t="shared" si="146"/>
        <v>594399.68999999994</v>
      </c>
      <c r="Q148" s="2">
        <f t="shared" si="146"/>
        <v>8999253.1799999997</v>
      </c>
      <c r="R148" s="2">
        <f t="shared" si="146"/>
        <v>2992112.62</v>
      </c>
      <c r="S148" s="2">
        <f t="shared" si="146"/>
        <v>17454000.370000001</v>
      </c>
      <c r="T148" s="2">
        <f t="shared" si="146"/>
        <v>0</v>
      </c>
      <c r="U148" s="2">
        <f>AH148</f>
        <v>37085.394700000004</v>
      </c>
      <c r="V148" s="2">
        <f>AI148</f>
        <v>0</v>
      </c>
      <c r="W148" s="2">
        <f>ROUND(AJ148,2)</f>
        <v>0</v>
      </c>
      <c r="X148" s="2">
        <f>ROUND(AK148,2)</f>
        <v>12217800.279999999</v>
      </c>
      <c r="Y148" s="2">
        <f>ROUND(AL148,2)</f>
        <v>1745400.05</v>
      </c>
      <c r="Z148" s="2"/>
      <c r="AA148" s="2"/>
      <c r="AB148" s="2">
        <f>ROUND(SUMIF(AA130:AA146,"=80891185",O130:O146),2)</f>
        <v>27047653.239999998</v>
      </c>
      <c r="AC148" s="2">
        <f>ROUND(SUMIF(AA130:AA146,"=80891185",P130:P146),2)</f>
        <v>594399.68999999994</v>
      </c>
      <c r="AD148" s="2">
        <f>ROUND(SUMIF(AA130:AA146,"=80891185",Q130:Q146),2)</f>
        <v>8999253.1799999997</v>
      </c>
      <c r="AE148" s="2">
        <f>ROUND(SUMIF(AA130:AA146,"=80891185",R130:R146),2)</f>
        <v>2992112.62</v>
      </c>
      <c r="AF148" s="2">
        <f>ROUND(SUMIF(AA130:AA146,"=80891185",S130:S146),2)</f>
        <v>17454000.370000001</v>
      </c>
      <c r="AG148" s="2">
        <f>ROUND(SUMIF(AA130:AA146,"=80891185",T130:T146),2)</f>
        <v>0</v>
      </c>
      <c r="AH148" s="2">
        <f>SUMIF(AA130:AA146,"=80891185",U130:U146)</f>
        <v>37085.394700000004</v>
      </c>
      <c r="AI148" s="2">
        <f>SUMIF(AA130:AA146,"=80891185",V130:V146)</f>
        <v>0</v>
      </c>
      <c r="AJ148" s="2">
        <f>ROUND(SUMIF(AA130:AA146,"=80891185",W130:W146),2)</f>
        <v>0</v>
      </c>
      <c r="AK148" s="2">
        <f>ROUND(SUMIF(AA130:AA146,"=80891185",X130:X146),2)</f>
        <v>12217800.279999999</v>
      </c>
      <c r="AL148" s="2">
        <f>ROUND(SUMIF(AA130:AA146,"=80891185",Y130:Y146),2)</f>
        <v>1745400.05</v>
      </c>
      <c r="AM148" s="2"/>
      <c r="AN148" s="2"/>
      <c r="AO148" s="2">
        <f t="shared" ref="AO148:BD148" si="147">ROUND(BX148,2)</f>
        <v>0</v>
      </c>
      <c r="AP148" s="2">
        <f t="shared" si="147"/>
        <v>0</v>
      </c>
      <c r="AQ148" s="2">
        <f t="shared" si="147"/>
        <v>0</v>
      </c>
      <c r="AR148" s="2">
        <f t="shared" si="147"/>
        <v>44242335.210000001</v>
      </c>
      <c r="AS148" s="2">
        <f t="shared" si="147"/>
        <v>0</v>
      </c>
      <c r="AT148" s="2">
        <f t="shared" si="147"/>
        <v>0</v>
      </c>
      <c r="AU148" s="2">
        <f t="shared" si="147"/>
        <v>44242335.210000001</v>
      </c>
      <c r="AV148" s="2">
        <f t="shared" si="147"/>
        <v>594399.68999999994</v>
      </c>
      <c r="AW148" s="2">
        <f t="shared" si="147"/>
        <v>594399.68999999994</v>
      </c>
      <c r="AX148" s="2">
        <f t="shared" si="147"/>
        <v>0</v>
      </c>
      <c r="AY148" s="2">
        <f t="shared" si="147"/>
        <v>594399.68999999994</v>
      </c>
      <c r="AZ148" s="2">
        <f t="shared" si="147"/>
        <v>0</v>
      </c>
      <c r="BA148" s="2">
        <f t="shared" si="147"/>
        <v>0</v>
      </c>
      <c r="BB148" s="2">
        <f t="shared" si="147"/>
        <v>0</v>
      </c>
      <c r="BC148" s="2">
        <f t="shared" si="147"/>
        <v>0</v>
      </c>
      <c r="BD148" s="2">
        <f t="shared" si="147"/>
        <v>0</v>
      </c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>
        <f>ROUND(SUMIF(AA130:AA146,"=80891185",FQ130:FQ146),2)</f>
        <v>0</v>
      </c>
      <c r="BY148" s="2">
        <f>ROUND(SUMIF(AA130:AA146,"=80891185",FR130:FR146),2)</f>
        <v>0</v>
      </c>
      <c r="BZ148" s="2">
        <f>ROUND(SUMIF(AA130:AA146,"=80891185",GL130:GL146),2)</f>
        <v>0</v>
      </c>
      <c r="CA148" s="2">
        <f>ROUND(SUMIF(AA130:AA146,"=80891185",GM130:GM146),2)</f>
        <v>44242335.210000001</v>
      </c>
      <c r="CB148" s="2">
        <f>ROUND(SUMIF(AA130:AA146,"=80891185",GN130:GN146),2)</f>
        <v>0</v>
      </c>
      <c r="CC148" s="2">
        <f>ROUND(SUMIF(AA130:AA146,"=80891185",GO130:GO146),2)</f>
        <v>0</v>
      </c>
      <c r="CD148" s="2">
        <f>ROUND(SUMIF(AA130:AA146,"=80891185",GP130:GP146),2)</f>
        <v>44242335.210000001</v>
      </c>
      <c r="CE148" s="2">
        <f>AC148-BX148</f>
        <v>594399.68999999994</v>
      </c>
      <c r="CF148" s="2">
        <f>AC148-BY148</f>
        <v>594399.68999999994</v>
      </c>
      <c r="CG148" s="2">
        <f>BX148-BZ148</f>
        <v>0</v>
      </c>
      <c r="CH148" s="2">
        <f>AC148-BX148-BY148+BZ148</f>
        <v>594399.68999999994</v>
      </c>
      <c r="CI148" s="2">
        <f>BY148-BZ148</f>
        <v>0</v>
      </c>
      <c r="CJ148" s="2">
        <f>ROUND(SUMIF(AA130:AA146,"=80891185",GX130:GX146),2)</f>
        <v>0</v>
      </c>
      <c r="CK148" s="2">
        <f>ROUND(SUMIF(AA130:AA146,"=80891185",GY130:GY146),2)</f>
        <v>0</v>
      </c>
      <c r="CL148" s="2">
        <f>ROUND(SUMIF(AA130:AA146,"=80891185",GZ130:GZ146),2)</f>
        <v>0</v>
      </c>
      <c r="CM148" s="2">
        <f>ROUND(SUMIF(AA130:AA146,"=80891185",HD130:HD146),2)</f>
        <v>0</v>
      </c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>
        <v>0</v>
      </c>
    </row>
    <row r="150" spans="1:245" ht="13" x14ac:dyDescent="0.3">
      <c r="A150" s="4">
        <v>50</v>
      </c>
      <c r="B150" s="4">
        <v>0</v>
      </c>
      <c r="C150" s="4">
        <v>0</v>
      </c>
      <c r="D150" s="4">
        <v>1</v>
      </c>
      <c r="E150" s="4">
        <v>201</v>
      </c>
      <c r="F150" s="4">
        <f>ROUND(Source!O148,O150)</f>
        <v>27047653.239999998</v>
      </c>
      <c r="G150" s="4" t="s">
        <v>94</v>
      </c>
      <c r="H150" s="4" t="s">
        <v>95</v>
      </c>
      <c r="I150" s="4"/>
      <c r="J150" s="4"/>
      <c r="K150" s="4">
        <v>201</v>
      </c>
      <c r="L150" s="4">
        <v>1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27047653.239999998</v>
      </c>
      <c r="X150" s="4">
        <v>1</v>
      </c>
      <c r="Y150" s="4">
        <v>27047653.239999998</v>
      </c>
      <c r="Z150" s="4"/>
      <c r="AA150" s="4"/>
      <c r="AB150" s="4"/>
    </row>
    <row r="151" spans="1:245" ht="13" x14ac:dyDescent="0.3">
      <c r="A151" s="4">
        <v>50</v>
      </c>
      <c r="B151" s="4">
        <v>0</v>
      </c>
      <c r="C151" s="4">
        <v>0</v>
      </c>
      <c r="D151" s="4">
        <v>1</v>
      </c>
      <c r="E151" s="4">
        <v>202</v>
      </c>
      <c r="F151" s="4">
        <f>ROUND(Source!P148,O151)</f>
        <v>594399.68999999994</v>
      </c>
      <c r="G151" s="4" t="s">
        <v>96</v>
      </c>
      <c r="H151" s="4" t="s">
        <v>97</v>
      </c>
      <c r="I151" s="4"/>
      <c r="J151" s="4"/>
      <c r="K151" s="4">
        <v>202</v>
      </c>
      <c r="L151" s="4">
        <v>2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594399.68999999994</v>
      </c>
      <c r="X151" s="4">
        <v>1</v>
      </c>
      <c r="Y151" s="4">
        <v>594399.68999999994</v>
      </c>
      <c r="Z151" s="4"/>
      <c r="AA151" s="4"/>
      <c r="AB151" s="4"/>
    </row>
    <row r="152" spans="1:245" ht="13" x14ac:dyDescent="0.3">
      <c r="A152" s="4">
        <v>50</v>
      </c>
      <c r="B152" s="4">
        <v>0</v>
      </c>
      <c r="C152" s="4">
        <v>0</v>
      </c>
      <c r="D152" s="4">
        <v>1</v>
      </c>
      <c r="E152" s="4">
        <v>222</v>
      </c>
      <c r="F152" s="4">
        <f>ROUND(Source!AO148,O152)</f>
        <v>0</v>
      </c>
      <c r="G152" s="4" t="s">
        <v>98</v>
      </c>
      <c r="H152" s="4" t="s">
        <v>99</v>
      </c>
      <c r="I152" s="4"/>
      <c r="J152" s="4"/>
      <c r="K152" s="4">
        <v>222</v>
      </c>
      <c r="L152" s="4">
        <v>3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45" ht="13" x14ac:dyDescent="0.3">
      <c r="A153" s="4">
        <v>50</v>
      </c>
      <c r="B153" s="4">
        <v>0</v>
      </c>
      <c r="C153" s="4">
        <v>0</v>
      </c>
      <c r="D153" s="4">
        <v>1</v>
      </c>
      <c r="E153" s="4">
        <v>225</v>
      </c>
      <c r="F153" s="4">
        <f>ROUND(Source!AV148,O153)</f>
        <v>594399.68999999994</v>
      </c>
      <c r="G153" s="4" t="s">
        <v>100</v>
      </c>
      <c r="H153" s="4" t="s">
        <v>101</v>
      </c>
      <c r="I153" s="4"/>
      <c r="J153" s="4"/>
      <c r="K153" s="4">
        <v>225</v>
      </c>
      <c r="L153" s="4">
        <v>4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594399.68999999994</v>
      </c>
      <c r="X153" s="4">
        <v>1</v>
      </c>
      <c r="Y153" s="4">
        <v>594399.68999999994</v>
      </c>
      <c r="Z153" s="4"/>
      <c r="AA153" s="4"/>
      <c r="AB153" s="4"/>
    </row>
    <row r="154" spans="1:245" ht="13" x14ac:dyDescent="0.3">
      <c r="A154" s="4">
        <v>50</v>
      </c>
      <c r="B154" s="4">
        <v>0</v>
      </c>
      <c r="C154" s="4">
        <v>0</v>
      </c>
      <c r="D154" s="4">
        <v>1</v>
      </c>
      <c r="E154" s="4">
        <v>226</v>
      </c>
      <c r="F154" s="4">
        <f>ROUND(Source!AW148,O154)</f>
        <v>594399.68999999994</v>
      </c>
      <c r="G154" s="4" t="s">
        <v>102</v>
      </c>
      <c r="H154" s="4" t="s">
        <v>103</v>
      </c>
      <c r="I154" s="4"/>
      <c r="J154" s="4"/>
      <c r="K154" s="4">
        <v>226</v>
      </c>
      <c r="L154" s="4">
        <v>5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594399.68999999994</v>
      </c>
      <c r="X154" s="4">
        <v>1</v>
      </c>
      <c r="Y154" s="4">
        <v>594399.68999999994</v>
      </c>
      <c r="Z154" s="4"/>
      <c r="AA154" s="4"/>
      <c r="AB154" s="4"/>
    </row>
    <row r="155" spans="1:245" ht="13" x14ac:dyDescent="0.3">
      <c r="A155" s="4">
        <v>50</v>
      </c>
      <c r="B155" s="4">
        <v>0</v>
      </c>
      <c r="C155" s="4">
        <v>0</v>
      </c>
      <c r="D155" s="4">
        <v>1</v>
      </c>
      <c r="E155" s="4">
        <v>227</v>
      </c>
      <c r="F155" s="4">
        <f>ROUND(Source!AX148,O155)</f>
        <v>0</v>
      </c>
      <c r="G155" s="4" t="s">
        <v>104</v>
      </c>
      <c r="H155" s="4" t="s">
        <v>105</v>
      </c>
      <c r="I155" s="4"/>
      <c r="J155" s="4"/>
      <c r="K155" s="4">
        <v>227</v>
      </c>
      <c r="L155" s="4">
        <v>6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45" ht="13" x14ac:dyDescent="0.3">
      <c r="A156" s="4">
        <v>50</v>
      </c>
      <c r="B156" s="4">
        <v>0</v>
      </c>
      <c r="C156" s="4">
        <v>0</v>
      </c>
      <c r="D156" s="4">
        <v>1</v>
      </c>
      <c r="E156" s="4">
        <v>228</v>
      </c>
      <c r="F156" s="4">
        <f>ROUND(Source!AY148,O156)</f>
        <v>594399.68999999994</v>
      </c>
      <c r="G156" s="4" t="s">
        <v>106</v>
      </c>
      <c r="H156" s="4" t="s">
        <v>107</v>
      </c>
      <c r="I156" s="4"/>
      <c r="J156" s="4"/>
      <c r="K156" s="4">
        <v>228</v>
      </c>
      <c r="L156" s="4">
        <v>7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594399.68999999994</v>
      </c>
      <c r="X156" s="4">
        <v>1</v>
      </c>
      <c r="Y156" s="4">
        <v>594399.68999999994</v>
      </c>
      <c r="Z156" s="4"/>
      <c r="AA156" s="4"/>
      <c r="AB156" s="4"/>
    </row>
    <row r="157" spans="1:245" ht="13" x14ac:dyDescent="0.3">
      <c r="A157" s="4">
        <v>50</v>
      </c>
      <c r="B157" s="4">
        <v>0</v>
      </c>
      <c r="C157" s="4">
        <v>0</v>
      </c>
      <c r="D157" s="4">
        <v>1</v>
      </c>
      <c r="E157" s="4">
        <v>216</v>
      </c>
      <c r="F157" s="4">
        <f>ROUND(Source!AP148,O157)</f>
        <v>0</v>
      </c>
      <c r="G157" s="4" t="s">
        <v>108</v>
      </c>
      <c r="H157" s="4" t="s">
        <v>109</v>
      </c>
      <c r="I157" s="4"/>
      <c r="J157" s="4"/>
      <c r="K157" s="4">
        <v>216</v>
      </c>
      <c r="L157" s="4">
        <v>8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45" ht="13" x14ac:dyDescent="0.3">
      <c r="A158" s="4">
        <v>50</v>
      </c>
      <c r="B158" s="4">
        <v>0</v>
      </c>
      <c r="C158" s="4">
        <v>0</v>
      </c>
      <c r="D158" s="4">
        <v>1</v>
      </c>
      <c r="E158" s="4">
        <v>223</v>
      </c>
      <c r="F158" s="4">
        <f>ROUND(Source!AQ148,O158)</f>
        <v>0</v>
      </c>
      <c r="G158" s="4" t="s">
        <v>110</v>
      </c>
      <c r="H158" s="4" t="s">
        <v>111</v>
      </c>
      <c r="I158" s="4"/>
      <c r="J158" s="4"/>
      <c r="K158" s="4">
        <v>223</v>
      </c>
      <c r="L158" s="4">
        <v>9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ht="13" x14ac:dyDescent="0.3">
      <c r="A159" s="4">
        <v>50</v>
      </c>
      <c r="B159" s="4">
        <v>0</v>
      </c>
      <c r="C159" s="4">
        <v>0</v>
      </c>
      <c r="D159" s="4">
        <v>1</v>
      </c>
      <c r="E159" s="4">
        <v>229</v>
      </c>
      <c r="F159" s="4">
        <f>ROUND(Source!AZ148,O159)</f>
        <v>0</v>
      </c>
      <c r="G159" s="4" t="s">
        <v>112</v>
      </c>
      <c r="H159" s="4" t="s">
        <v>113</v>
      </c>
      <c r="I159" s="4"/>
      <c r="J159" s="4"/>
      <c r="K159" s="4">
        <v>229</v>
      </c>
      <c r="L159" s="4">
        <v>10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ht="13" x14ac:dyDescent="0.3">
      <c r="A160" s="4">
        <v>50</v>
      </c>
      <c r="B160" s="4">
        <v>0</v>
      </c>
      <c r="C160" s="4">
        <v>0</v>
      </c>
      <c r="D160" s="4">
        <v>1</v>
      </c>
      <c r="E160" s="4">
        <v>203</v>
      </c>
      <c r="F160" s="4">
        <f>ROUND(Source!Q148,O160)</f>
        <v>8999253.1799999997</v>
      </c>
      <c r="G160" s="4" t="s">
        <v>114</v>
      </c>
      <c r="H160" s="4" t="s">
        <v>115</v>
      </c>
      <c r="I160" s="4"/>
      <c r="J160" s="4"/>
      <c r="K160" s="4">
        <v>203</v>
      </c>
      <c r="L160" s="4">
        <v>11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8999253.1799999997</v>
      </c>
      <c r="X160" s="4">
        <v>1</v>
      </c>
      <c r="Y160" s="4">
        <v>8999253.1799999997</v>
      </c>
      <c r="Z160" s="4"/>
      <c r="AA160" s="4"/>
      <c r="AB160" s="4"/>
    </row>
    <row r="161" spans="1:28" ht="13" x14ac:dyDescent="0.3">
      <c r="A161" s="4">
        <v>50</v>
      </c>
      <c r="B161" s="4">
        <v>0</v>
      </c>
      <c r="C161" s="4">
        <v>0</v>
      </c>
      <c r="D161" s="4">
        <v>1</v>
      </c>
      <c r="E161" s="4">
        <v>231</v>
      </c>
      <c r="F161" s="4">
        <f>ROUND(Source!BB148,O161)</f>
        <v>0</v>
      </c>
      <c r="G161" s="4" t="s">
        <v>116</v>
      </c>
      <c r="H161" s="4" t="s">
        <v>117</v>
      </c>
      <c r="I161" s="4"/>
      <c r="J161" s="4"/>
      <c r="K161" s="4">
        <v>231</v>
      </c>
      <c r="L161" s="4">
        <v>12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ht="13" x14ac:dyDescent="0.3">
      <c r="A162" s="4">
        <v>50</v>
      </c>
      <c r="B162" s="4">
        <v>0</v>
      </c>
      <c r="C162" s="4">
        <v>0</v>
      </c>
      <c r="D162" s="4">
        <v>1</v>
      </c>
      <c r="E162" s="4">
        <v>204</v>
      </c>
      <c r="F162" s="4">
        <f>ROUND(Source!R148,O162)</f>
        <v>2992112.62</v>
      </c>
      <c r="G162" s="4" t="s">
        <v>118</v>
      </c>
      <c r="H162" s="4" t="s">
        <v>119</v>
      </c>
      <c r="I162" s="4"/>
      <c r="J162" s="4"/>
      <c r="K162" s="4">
        <v>204</v>
      </c>
      <c r="L162" s="4">
        <v>13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2992112.62</v>
      </c>
      <c r="X162" s="4">
        <v>1</v>
      </c>
      <c r="Y162" s="4">
        <v>2992112.62</v>
      </c>
      <c r="Z162" s="4"/>
      <c r="AA162" s="4"/>
      <c r="AB162" s="4"/>
    </row>
    <row r="163" spans="1:28" ht="13" x14ac:dyDescent="0.3">
      <c r="A163" s="4">
        <v>50</v>
      </c>
      <c r="B163" s="4">
        <v>0</v>
      </c>
      <c r="C163" s="4">
        <v>0</v>
      </c>
      <c r="D163" s="4">
        <v>1</v>
      </c>
      <c r="E163" s="4">
        <v>205</v>
      </c>
      <c r="F163" s="4">
        <f>ROUND(Source!S148,O163)</f>
        <v>17454000.370000001</v>
      </c>
      <c r="G163" s="4" t="s">
        <v>120</v>
      </c>
      <c r="H163" s="4" t="s">
        <v>121</v>
      </c>
      <c r="I163" s="4"/>
      <c r="J163" s="4"/>
      <c r="K163" s="4">
        <v>205</v>
      </c>
      <c r="L163" s="4">
        <v>14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17454000.370000001</v>
      </c>
      <c r="X163" s="4">
        <v>1</v>
      </c>
      <c r="Y163" s="4">
        <v>17454000.370000001</v>
      </c>
      <c r="Z163" s="4"/>
      <c r="AA163" s="4"/>
      <c r="AB163" s="4"/>
    </row>
    <row r="164" spans="1:28" ht="13" x14ac:dyDescent="0.3">
      <c r="A164" s="4">
        <v>50</v>
      </c>
      <c r="B164" s="4">
        <v>0</v>
      </c>
      <c r="C164" s="4">
        <v>0</v>
      </c>
      <c r="D164" s="4">
        <v>1</v>
      </c>
      <c r="E164" s="4">
        <v>232</v>
      </c>
      <c r="F164" s="4">
        <f>ROUND(Source!BC148,O164)</f>
        <v>0</v>
      </c>
      <c r="G164" s="4" t="s">
        <v>122</v>
      </c>
      <c r="H164" s="4" t="s">
        <v>123</v>
      </c>
      <c r="I164" s="4"/>
      <c r="J164" s="4"/>
      <c r="K164" s="4">
        <v>232</v>
      </c>
      <c r="L164" s="4">
        <v>15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ht="13" x14ac:dyDescent="0.3">
      <c r="A165" s="4">
        <v>50</v>
      </c>
      <c r="B165" s="4">
        <v>0</v>
      </c>
      <c r="C165" s="4">
        <v>0</v>
      </c>
      <c r="D165" s="4">
        <v>1</v>
      </c>
      <c r="E165" s="4">
        <v>214</v>
      </c>
      <c r="F165" s="4">
        <f>ROUND(Source!AS148,O165)</f>
        <v>0</v>
      </c>
      <c r="G165" s="4" t="s">
        <v>124</v>
      </c>
      <c r="H165" s="4" t="s">
        <v>125</v>
      </c>
      <c r="I165" s="4"/>
      <c r="J165" s="4"/>
      <c r="K165" s="4">
        <v>214</v>
      </c>
      <c r="L165" s="4">
        <v>16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ht="13" x14ac:dyDescent="0.3">
      <c r="A166" s="4">
        <v>50</v>
      </c>
      <c r="B166" s="4">
        <v>0</v>
      </c>
      <c r="C166" s="4">
        <v>0</v>
      </c>
      <c r="D166" s="4">
        <v>1</v>
      </c>
      <c r="E166" s="4">
        <v>215</v>
      </c>
      <c r="F166" s="4">
        <f>ROUND(Source!AT148,O166)</f>
        <v>0</v>
      </c>
      <c r="G166" s="4" t="s">
        <v>126</v>
      </c>
      <c r="H166" s="4" t="s">
        <v>127</v>
      </c>
      <c r="I166" s="4"/>
      <c r="J166" s="4"/>
      <c r="K166" s="4">
        <v>215</v>
      </c>
      <c r="L166" s="4">
        <v>17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ht="13" x14ac:dyDescent="0.3">
      <c r="A167" s="4">
        <v>50</v>
      </c>
      <c r="B167" s="4">
        <v>0</v>
      </c>
      <c r="C167" s="4">
        <v>0</v>
      </c>
      <c r="D167" s="4">
        <v>1</v>
      </c>
      <c r="E167" s="4">
        <v>217</v>
      </c>
      <c r="F167" s="4">
        <f>ROUND(Source!AU148,O167)</f>
        <v>44242335.210000001</v>
      </c>
      <c r="G167" s="4" t="s">
        <v>128</v>
      </c>
      <c r="H167" s="4" t="s">
        <v>129</v>
      </c>
      <c r="I167" s="4"/>
      <c r="J167" s="4"/>
      <c r="K167" s="4">
        <v>217</v>
      </c>
      <c r="L167" s="4">
        <v>18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44242335.210000001</v>
      </c>
      <c r="X167" s="4">
        <v>1</v>
      </c>
      <c r="Y167" s="4">
        <v>44242335.210000001</v>
      </c>
      <c r="Z167" s="4"/>
      <c r="AA167" s="4"/>
      <c r="AB167" s="4"/>
    </row>
    <row r="168" spans="1:28" ht="13" x14ac:dyDescent="0.3">
      <c r="A168" s="4">
        <v>50</v>
      </c>
      <c r="B168" s="4">
        <v>0</v>
      </c>
      <c r="C168" s="4">
        <v>0</v>
      </c>
      <c r="D168" s="4">
        <v>1</v>
      </c>
      <c r="E168" s="4">
        <v>230</v>
      </c>
      <c r="F168" s="4">
        <f>ROUND(Source!BA148,O168)</f>
        <v>0</v>
      </c>
      <c r="G168" s="4" t="s">
        <v>130</v>
      </c>
      <c r="H168" s="4" t="s">
        <v>131</v>
      </c>
      <c r="I168" s="4"/>
      <c r="J168" s="4"/>
      <c r="K168" s="4">
        <v>230</v>
      </c>
      <c r="L168" s="4">
        <v>19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ht="13" x14ac:dyDescent="0.3">
      <c r="A169" s="4">
        <v>50</v>
      </c>
      <c r="B169" s="4">
        <v>0</v>
      </c>
      <c r="C169" s="4">
        <v>0</v>
      </c>
      <c r="D169" s="4">
        <v>1</v>
      </c>
      <c r="E169" s="4">
        <v>206</v>
      </c>
      <c r="F169" s="4">
        <f>ROUND(Source!T148,O169)</f>
        <v>0</v>
      </c>
      <c r="G169" s="4" t="s">
        <v>132</v>
      </c>
      <c r="H169" s="4" t="s">
        <v>133</v>
      </c>
      <c r="I169" s="4"/>
      <c r="J169" s="4"/>
      <c r="K169" s="4">
        <v>206</v>
      </c>
      <c r="L169" s="4">
        <v>20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ht="13" x14ac:dyDescent="0.3">
      <c r="A170" s="4">
        <v>50</v>
      </c>
      <c r="B170" s="4">
        <v>0</v>
      </c>
      <c r="C170" s="4">
        <v>0</v>
      </c>
      <c r="D170" s="4">
        <v>1</v>
      </c>
      <c r="E170" s="4">
        <v>207</v>
      </c>
      <c r="F170" s="4">
        <f>Source!U148</f>
        <v>37085.394700000004</v>
      </c>
      <c r="G170" s="4" t="s">
        <v>134</v>
      </c>
      <c r="H170" s="4" t="s">
        <v>135</v>
      </c>
      <c r="I170" s="4"/>
      <c r="J170" s="4"/>
      <c r="K170" s="4">
        <v>207</v>
      </c>
      <c r="L170" s="4">
        <v>21</v>
      </c>
      <c r="M170" s="4">
        <v>3</v>
      </c>
      <c r="N170" s="4" t="s">
        <v>3</v>
      </c>
      <c r="O170" s="4">
        <v>-1</v>
      </c>
      <c r="P170" s="4"/>
      <c r="Q170" s="4"/>
      <c r="R170" s="4"/>
      <c r="S170" s="4"/>
      <c r="T170" s="4"/>
      <c r="U170" s="4"/>
      <c r="V170" s="4"/>
      <c r="W170" s="4">
        <v>37085.394700000004</v>
      </c>
      <c r="X170" s="4">
        <v>1</v>
      </c>
      <c r="Y170" s="4">
        <v>37085.394700000004</v>
      </c>
      <c r="Z170" s="4"/>
      <c r="AA170" s="4"/>
      <c r="AB170" s="4"/>
    </row>
    <row r="171" spans="1:28" ht="13" x14ac:dyDescent="0.3">
      <c r="A171" s="4">
        <v>50</v>
      </c>
      <c r="B171" s="4">
        <v>0</v>
      </c>
      <c r="C171" s="4">
        <v>0</v>
      </c>
      <c r="D171" s="4">
        <v>1</v>
      </c>
      <c r="E171" s="4">
        <v>208</v>
      </c>
      <c r="F171" s="4">
        <f>Source!V148</f>
        <v>0</v>
      </c>
      <c r="G171" s="4" t="s">
        <v>136</v>
      </c>
      <c r="H171" s="4" t="s">
        <v>137</v>
      </c>
      <c r="I171" s="4"/>
      <c r="J171" s="4"/>
      <c r="K171" s="4">
        <v>208</v>
      </c>
      <c r="L171" s="4">
        <v>22</v>
      </c>
      <c r="M171" s="4">
        <v>3</v>
      </c>
      <c r="N171" s="4" t="s">
        <v>3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ht="13" x14ac:dyDescent="0.3">
      <c r="A172" s="4">
        <v>50</v>
      </c>
      <c r="B172" s="4">
        <v>0</v>
      </c>
      <c r="C172" s="4">
        <v>0</v>
      </c>
      <c r="D172" s="4">
        <v>1</v>
      </c>
      <c r="E172" s="4">
        <v>209</v>
      </c>
      <c r="F172" s="4">
        <f>ROUND(Source!W148,O172)</f>
        <v>0</v>
      </c>
      <c r="G172" s="4" t="s">
        <v>138</v>
      </c>
      <c r="H172" s="4" t="s">
        <v>139</v>
      </c>
      <c r="I172" s="4"/>
      <c r="J172" s="4"/>
      <c r="K172" s="4">
        <v>209</v>
      </c>
      <c r="L172" s="4">
        <v>23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ht="13" x14ac:dyDescent="0.3">
      <c r="A173" s="4">
        <v>50</v>
      </c>
      <c r="B173" s="4">
        <v>0</v>
      </c>
      <c r="C173" s="4">
        <v>0</v>
      </c>
      <c r="D173" s="4">
        <v>1</v>
      </c>
      <c r="E173" s="4">
        <v>233</v>
      </c>
      <c r="F173" s="4">
        <f>ROUND(Source!BD148,O173)</f>
        <v>0</v>
      </c>
      <c r="G173" s="4" t="s">
        <v>140</v>
      </c>
      <c r="H173" s="4" t="s">
        <v>141</v>
      </c>
      <c r="I173" s="4"/>
      <c r="J173" s="4"/>
      <c r="K173" s="4">
        <v>233</v>
      </c>
      <c r="L173" s="4">
        <v>24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ht="13" x14ac:dyDescent="0.3">
      <c r="A174" s="4">
        <v>50</v>
      </c>
      <c r="B174" s="4">
        <v>0</v>
      </c>
      <c r="C174" s="4">
        <v>0</v>
      </c>
      <c r="D174" s="4">
        <v>1</v>
      </c>
      <c r="E174" s="4">
        <v>210</v>
      </c>
      <c r="F174" s="4">
        <f>ROUND(Source!X148,O174)</f>
        <v>12217800.279999999</v>
      </c>
      <c r="G174" s="4" t="s">
        <v>142</v>
      </c>
      <c r="H174" s="4" t="s">
        <v>143</v>
      </c>
      <c r="I174" s="4"/>
      <c r="J174" s="4"/>
      <c r="K174" s="4">
        <v>210</v>
      </c>
      <c r="L174" s="4">
        <v>25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12217800.279999999</v>
      </c>
      <c r="X174" s="4">
        <v>1</v>
      </c>
      <c r="Y174" s="4">
        <v>12217800.279999999</v>
      </c>
      <c r="Z174" s="4"/>
      <c r="AA174" s="4"/>
      <c r="AB174" s="4"/>
    </row>
    <row r="175" spans="1:28" ht="13" x14ac:dyDescent="0.3">
      <c r="A175" s="4">
        <v>50</v>
      </c>
      <c r="B175" s="4">
        <v>0</v>
      </c>
      <c r="C175" s="4">
        <v>0</v>
      </c>
      <c r="D175" s="4">
        <v>1</v>
      </c>
      <c r="E175" s="4">
        <v>211</v>
      </c>
      <c r="F175" s="4">
        <f>ROUND(Source!Y148,O175)</f>
        <v>1745400.05</v>
      </c>
      <c r="G175" s="4" t="s">
        <v>144</v>
      </c>
      <c r="H175" s="4" t="s">
        <v>145</v>
      </c>
      <c r="I175" s="4"/>
      <c r="J175" s="4"/>
      <c r="K175" s="4">
        <v>211</v>
      </c>
      <c r="L175" s="4">
        <v>26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1745400.05</v>
      </c>
      <c r="X175" s="4">
        <v>1</v>
      </c>
      <c r="Y175" s="4">
        <v>1745400.05</v>
      </c>
      <c r="Z175" s="4"/>
      <c r="AA175" s="4"/>
      <c r="AB175" s="4"/>
    </row>
    <row r="176" spans="1:28" ht="13" x14ac:dyDescent="0.3">
      <c r="A176" s="4">
        <v>50</v>
      </c>
      <c r="B176" s="4">
        <v>0</v>
      </c>
      <c r="C176" s="4">
        <v>0</v>
      </c>
      <c r="D176" s="4">
        <v>1</v>
      </c>
      <c r="E176" s="4">
        <v>224</v>
      </c>
      <c r="F176" s="4">
        <f>ROUND(Source!AR148,O176)</f>
        <v>44242335.210000001</v>
      </c>
      <c r="G176" s="4" t="s">
        <v>146</v>
      </c>
      <c r="H176" s="4" t="s">
        <v>147</v>
      </c>
      <c r="I176" s="4"/>
      <c r="J176" s="4"/>
      <c r="K176" s="4">
        <v>224</v>
      </c>
      <c r="L176" s="4">
        <v>27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44242335.210000001</v>
      </c>
      <c r="X176" s="4">
        <v>1</v>
      </c>
      <c r="Y176" s="4">
        <v>44242335.210000001</v>
      </c>
      <c r="Z176" s="4"/>
      <c r="AA176" s="4"/>
      <c r="AB176" s="4"/>
    </row>
    <row r="178" spans="1:206" ht="13" x14ac:dyDescent="0.3">
      <c r="A178" s="2">
        <v>51</v>
      </c>
      <c r="B178" s="2">
        <f>B24</f>
        <v>1</v>
      </c>
      <c r="C178" s="2">
        <f>A24</f>
        <v>4</v>
      </c>
      <c r="D178" s="2">
        <f>ROW(A24)</f>
        <v>24</v>
      </c>
      <c r="E178" s="2"/>
      <c r="F178" s="2" t="str">
        <f>IF(F24&lt;&gt;"",F24,"")</f>
        <v>Новый раздел</v>
      </c>
      <c r="G178" s="2" t="str">
        <f>IF(G24&lt;&gt;"",G24,"")</f>
        <v>Раздел: Основная зона</v>
      </c>
      <c r="H178" s="2">
        <v>0</v>
      </c>
      <c r="I178" s="2"/>
      <c r="J178" s="2"/>
      <c r="K178" s="2"/>
      <c r="L178" s="2"/>
      <c r="M178" s="2"/>
      <c r="N178" s="2"/>
      <c r="O178" s="2">
        <f t="shared" ref="O178:T178" si="148">ROUND(O49+O96+O148+AB178,2)</f>
        <v>112070691.13</v>
      </c>
      <c r="P178" s="2">
        <f t="shared" si="148"/>
        <v>11513138.970000001</v>
      </c>
      <c r="Q178" s="2">
        <f t="shared" si="148"/>
        <v>62645857.93</v>
      </c>
      <c r="R178" s="2">
        <f t="shared" si="148"/>
        <v>27648681.870000001</v>
      </c>
      <c r="S178" s="2">
        <f t="shared" si="148"/>
        <v>37911694.229999997</v>
      </c>
      <c r="T178" s="2">
        <f t="shared" si="148"/>
        <v>0</v>
      </c>
      <c r="U178" s="2">
        <f>U49+U96+U148+AH178</f>
        <v>82232.137350000005</v>
      </c>
      <c r="V178" s="2">
        <f>V49+V96+V148+AI178</f>
        <v>0</v>
      </c>
      <c r="W178" s="2">
        <f>ROUND(W49+W96+W148+AJ178,2)</f>
        <v>0</v>
      </c>
      <c r="X178" s="2">
        <f>ROUND(X49+X96+X148+AK178,2)</f>
        <v>26538186</v>
      </c>
      <c r="Y178" s="2">
        <f>ROUND(Y49+Y96+Y148+AL178,2)</f>
        <v>3791169.45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>
        <f t="shared" ref="AO178:BD178" si="149">ROUND(AO49+AO96+AO148+BX178,2)</f>
        <v>0</v>
      </c>
      <c r="AP178" s="2">
        <f t="shared" si="149"/>
        <v>0</v>
      </c>
      <c r="AQ178" s="2">
        <f t="shared" si="149"/>
        <v>0</v>
      </c>
      <c r="AR178" s="2">
        <f t="shared" si="149"/>
        <v>172260623</v>
      </c>
      <c r="AS178" s="2">
        <f t="shared" si="149"/>
        <v>0</v>
      </c>
      <c r="AT178" s="2">
        <f t="shared" si="149"/>
        <v>0</v>
      </c>
      <c r="AU178" s="2">
        <f t="shared" si="149"/>
        <v>172260623</v>
      </c>
      <c r="AV178" s="2">
        <f t="shared" si="149"/>
        <v>11513138.970000001</v>
      </c>
      <c r="AW178" s="2">
        <f t="shared" si="149"/>
        <v>11513138.970000001</v>
      </c>
      <c r="AX178" s="2">
        <f t="shared" si="149"/>
        <v>0</v>
      </c>
      <c r="AY178" s="2">
        <f t="shared" si="149"/>
        <v>11513138.970000001</v>
      </c>
      <c r="AZ178" s="2">
        <f t="shared" si="149"/>
        <v>0</v>
      </c>
      <c r="BA178" s="2">
        <f t="shared" si="149"/>
        <v>0</v>
      </c>
      <c r="BB178" s="2">
        <f t="shared" si="149"/>
        <v>0</v>
      </c>
      <c r="BC178" s="2">
        <f t="shared" si="149"/>
        <v>0</v>
      </c>
      <c r="BD178" s="2">
        <f t="shared" si="149"/>
        <v>0</v>
      </c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>
        <v>0</v>
      </c>
    </row>
    <row r="180" spans="1:206" ht="13" x14ac:dyDescent="0.3">
      <c r="A180" s="4">
        <v>50</v>
      </c>
      <c r="B180" s="4">
        <v>0</v>
      </c>
      <c r="C180" s="4">
        <v>0</v>
      </c>
      <c r="D180" s="4">
        <v>1</v>
      </c>
      <c r="E180" s="4">
        <v>201</v>
      </c>
      <c r="F180" s="4">
        <f>ROUND(Source!O178,O180)</f>
        <v>112070691.13</v>
      </c>
      <c r="G180" s="4" t="s">
        <v>94</v>
      </c>
      <c r="H180" s="4" t="s">
        <v>95</v>
      </c>
      <c r="I180" s="4"/>
      <c r="J180" s="4"/>
      <c r="K180" s="4">
        <v>201</v>
      </c>
      <c r="L180" s="4">
        <v>1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112070691.13</v>
      </c>
      <c r="X180" s="4">
        <v>1</v>
      </c>
      <c r="Y180" s="4">
        <v>112070691.13</v>
      </c>
      <c r="Z180" s="4"/>
      <c r="AA180" s="4"/>
      <c r="AB180" s="4"/>
    </row>
    <row r="181" spans="1:206" ht="13" x14ac:dyDescent="0.3">
      <c r="A181" s="4">
        <v>50</v>
      </c>
      <c r="B181" s="4">
        <v>0</v>
      </c>
      <c r="C181" s="4">
        <v>0</v>
      </c>
      <c r="D181" s="4">
        <v>1</v>
      </c>
      <c r="E181" s="4">
        <v>202</v>
      </c>
      <c r="F181" s="4">
        <f>ROUND(Source!P178,O181)</f>
        <v>11513138.970000001</v>
      </c>
      <c r="G181" s="4" t="s">
        <v>96</v>
      </c>
      <c r="H181" s="4" t="s">
        <v>97</v>
      </c>
      <c r="I181" s="4"/>
      <c r="J181" s="4"/>
      <c r="K181" s="4">
        <v>202</v>
      </c>
      <c r="L181" s="4">
        <v>2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11513138.970000001</v>
      </c>
      <c r="X181" s="4">
        <v>1</v>
      </c>
      <c r="Y181" s="4">
        <v>11513138.970000001</v>
      </c>
      <c r="Z181" s="4"/>
      <c r="AA181" s="4"/>
      <c r="AB181" s="4"/>
    </row>
    <row r="182" spans="1:206" ht="13" x14ac:dyDescent="0.3">
      <c r="A182" s="4">
        <v>50</v>
      </c>
      <c r="B182" s="4">
        <v>0</v>
      </c>
      <c r="C182" s="4">
        <v>0</v>
      </c>
      <c r="D182" s="4">
        <v>1</v>
      </c>
      <c r="E182" s="4">
        <v>222</v>
      </c>
      <c r="F182" s="4">
        <f>ROUND(Source!AO178,O182)</f>
        <v>0</v>
      </c>
      <c r="G182" s="4" t="s">
        <v>98</v>
      </c>
      <c r="H182" s="4" t="s">
        <v>99</v>
      </c>
      <c r="I182" s="4"/>
      <c r="J182" s="4"/>
      <c r="K182" s="4">
        <v>222</v>
      </c>
      <c r="L182" s="4">
        <v>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ht="13" x14ac:dyDescent="0.3">
      <c r="A183" s="4">
        <v>50</v>
      </c>
      <c r="B183" s="4">
        <v>0</v>
      </c>
      <c r="C183" s="4">
        <v>0</v>
      </c>
      <c r="D183" s="4">
        <v>1</v>
      </c>
      <c r="E183" s="4">
        <v>225</v>
      </c>
      <c r="F183" s="4">
        <f>ROUND(Source!AV178,O183)</f>
        <v>11513138.970000001</v>
      </c>
      <c r="G183" s="4" t="s">
        <v>100</v>
      </c>
      <c r="H183" s="4" t="s">
        <v>101</v>
      </c>
      <c r="I183" s="4"/>
      <c r="J183" s="4"/>
      <c r="K183" s="4">
        <v>225</v>
      </c>
      <c r="L183" s="4">
        <v>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11513138.970000001</v>
      </c>
      <c r="X183" s="4">
        <v>1</v>
      </c>
      <c r="Y183" s="4">
        <v>11513138.970000001</v>
      </c>
      <c r="Z183" s="4"/>
      <c r="AA183" s="4"/>
      <c r="AB183" s="4"/>
    </row>
    <row r="184" spans="1:206" ht="13" x14ac:dyDescent="0.3">
      <c r="A184" s="4">
        <v>50</v>
      </c>
      <c r="B184" s="4">
        <v>0</v>
      </c>
      <c r="C184" s="4">
        <v>0</v>
      </c>
      <c r="D184" s="4">
        <v>1</v>
      </c>
      <c r="E184" s="4">
        <v>226</v>
      </c>
      <c r="F184" s="4">
        <f>ROUND(Source!AW178,O184)</f>
        <v>11513138.970000001</v>
      </c>
      <c r="G184" s="4" t="s">
        <v>102</v>
      </c>
      <c r="H184" s="4" t="s">
        <v>103</v>
      </c>
      <c r="I184" s="4"/>
      <c r="J184" s="4"/>
      <c r="K184" s="4">
        <v>226</v>
      </c>
      <c r="L184" s="4">
        <v>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11513138.970000001</v>
      </c>
      <c r="X184" s="4">
        <v>1</v>
      </c>
      <c r="Y184" s="4">
        <v>11513138.970000001</v>
      </c>
      <c r="Z184" s="4"/>
      <c r="AA184" s="4"/>
      <c r="AB184" s="4"/>
    </row>
    <row r="185" spans="1:206" ht="13" x14ac:dyDescent="0.3">
      <c r="A185" s="4">
        <v>50</v>
      </c>
      <c r="B185" s="4">
        <v>0</v>
      </c>
      <c r="C185" s="4">
        <v>0</v>
      </c>
      <c r="D185" s="4">
        <v>1</v>
      </c>
      <c r="E185" s="4">
        <v>227</v>
      </c>
      <c r="F185" s="4">
        <f>ROUND(Source!AX178,O185)</f>
        <v>0</v>
      </c>
      <c r="G185" s="4" t="s">
        <v>104</v>
      </c>
      <c r="H185" s="4" t="s">
        <v>105</v>
      </c>
      <c r="I185" s="4"/>
      <c r="J185" s="4"/>
      <c r="K185" s="4">
        <v>227</v>
      </c>
      <c r="L185" s="4">
        <v>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ht="13" x14ac:dyDescent="0.3">
      <c r="A186" s="4">
        <v>50</v>
      </c>
      <c r="B186" s="4">
        <v>0</v>
      </c>
      <c r="C186" s="4">
        <v>0</v>
      </c>
      <c r="D186" s="4">
        <v>1</v>
      </c>
      <c r="E186" s="4">
        <v>228</v>
      </c>
      <c r="F186" s="4">
        <f>ROUND(Source!AY178,O186)</f>
        <v>11513138.970000001</v>
      </c>
      <c r="G186" s="4" t="s">
        <v>106</v>
      </c>
      <c r="H186" s="4" t="s">
        <v>107</v>
      </c>
      <c r="I186" s="4"/>
      <c r="J186" s="4"/>
      <c r="K186" s="4">
        <v>228</v>
      </c>
      <c r="L186" s="4">
        <v>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11513138.970000001</v>
      </c>
      <c r="X186" s="4">
        <v>1</v>
      </c>
      <c r="Y186" s="4">
        <v>11513138.970000001</v>
      </c>
      <c r="Z186" s="4"/>
      <c r="AA186" s="4"/>
      <c r="AB186" s="4"/>
    </row>
    <row r="187" spans="1:206" ht="13" x14ac:dyDescent="0.3">
      <c r="A187" s="4">
        <v>50</v>
      </c>
      <c r="B187" s="4">
        <v>0</v>
      </c>
      <c r="C187" s="4">
        <v>0</v>
      </c>
      <c r="D187" s="4">
        <v>1</v>
      </c>
      <c r="E187" s="4">
        <v>216</v>
      </c>
      <c r="F187" s="4">
        <f>ROUND(Source!AP178,O187)</f>
        <v>0</v>
      </c>
      <c r="G187" s="4" t="s">
        <v>108</v>
      </c>
      <c r="H187" s="4" t="s">
        <v>109</v>
      </c>
      <c r="I187" s="4"/>
      <c r="J187" s="4"/>
      <c r="K187" s="4">
        <v>216</v>
      </c>
      <c r="L187" s="4">
        <v>8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ht="13" x14ac:dyDescent="0.3">
      <c r="A188" s="4">
        <v>50</v>
      </c>
      <c r="B188" s="4">
        <v>0</v>
      </c>
      <c r="C188" s="4">
        <v>0</v>
      </c>
      <c r="D188" s="4">
        <v>1</v>
      </c>
      <c r="E188" s="4">
        <v>223</v>
      </c>
      <c r="F188" s="4">
        <f>ROUND(Source!AQ178,O188)</f>
        <v>0</v>
      </c>
      <c r="G188" s="4" t="s">
        <v>110</v>
      </c>
      <c r="H188" s="4" t="s">
        <v>111</v>
      </c>
      <c r="I188" s="4"/>
      <c r="J188" s="4"/>
      <c r="K188" s="4">
        <v>223</v>
      </c>
      <c r="L188" s="4">
        <v>9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ht="13" x14ac:dyDescent="0.3">
      <c r="A189" s="4">
        <v>50</v>
      </c>
      <c r="B189" s="4">
        <v>0</v>
      </c>
      <c r="C189" s="4">
        <v>0</v>
      </c>
      <c r="D189" s="4">
        <v>1</v>
      </c>
      <c r="E189" s="4">
        <v>229</v>
      </c>
      <c r="F189" s="4">
        <f>ROUND(Source!AZ178,O189)</f>
        <v>0</v>
      </c>
      <c r="G189" s="4" t="s">
        <v>112</v>
      </c>
      <c r="H189" s="4" t="s">
        <v>113</v>
      </c>
      <c r="I189" s="4"/>
      <c r="J189" s="4"/>
      <c r="K189" s="4">
        <v>229</v>
      </c>
      <c r="L189" s="4">
        <v>10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ht="13" x14ac:dyDescent="0.3">
      <c r="A190" s="4">
        <v>50</v>
      </c>
      <c r="B190" s="4">
        <v>0</v>
      </c>
      <c r="C190" s="4">
        <v>0</v>
      </c>
      <c r="D190" s="4">
        <v>1</v>
      </c>
      <c r="E190" s="4">
        <v>203</v>
      </c>
      <c r="F190" s="4">
        <f>ROUND(Source!Q178,O190)</f>
        <v>62645857.93</v>
      </c>
      <c r="G190" s="4" t="s">
        <v>114</v>
      </c>
      <c r="H190" s="4" t="s">
        <v>115</v>
      </c>
      <c r="I190" s="4"/>
      <c r="J190" s="4"/>
      <c r="K190" s="4">
        <v>203</v>
      </c>
      <c r="L190" s="4">
        <v>11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62645857.93</v>
      </c>
      <c r="X190" s="4">
        <v>1</v>
      </c>
      <c r="Y190" s="4">
        <v>62645857.93</v>
      </c>
      <c r="Z190" s="4"/>
      <c r="AA190" s="4"/>
      <c r="AB190" s="4"/>
    </row>
    <row r="191" spans="1:206" ht="13" x14ac:dyDescent="0.3">
      <c r="A191" s="4">
        <v>50</v>
      </c>
      <c r="B191" s="4">
        <v>0</v>
      </c>
      <c r="C191" s="4">
        <v>0</v>
      </c>
      <c r="D191" s="4">
        <v>1</v>
      </c>
      <c r="E191" s="4">
        <v>231</v>
      </c>
      <c r="F191" s="4">
        <f>ROUND(Source!BB178,O191)</f>
        <v>0</v>
      </c>
      <c r="G191" s="4" t="s">
        <v>116</v>
      </c>
      <c r="H191" s="4" t="s">
        <v>117</v>
      </c>
      <c r="I191" s="4"/>
      <c r="J191" s="4"/>
      <c r="K191" s="4">
        <v>231</v>
      </c>
      <c r="L191" s="4">
        <v>12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ht="13" x14ac:dyDescent="0.3">
      <c r="A192" s="4">
        <v>50</v>
      </c>
      <c r="B192" s="4">
        <v>0</v>
      </c>
      <c r="C192" s="4">
        <v>0</v>
      </c>
      <c r="D192" s="4">
        <v>1</v>
      </c>
      <c r="E192" s="4">
        <v>204</v>
      </c>
      <c r="F192" s="4">
        <f>ROUND(Source!R178,O192)</f>
        <v>27648681.870000001</v>
      </c>
      <c r="G192" s="4" t="s">
        <v>118</v>
      </c>
      <c r="H192" s="4" t="s">
        <v>119</v>
      </c>
      <c r="I192" s="4"/>
      <c r="J192" s="4"/>
      <c r="K192" s="4">
        <v>204</v>
      </c>
      <c r="L192" s="4">
        <v>13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27648681.870000001</v>
      </c>
      <c r="X192" s="4">
        <v>1</v>
      </c>
      <c r="Y192" s="4">
        <v>27648681.870000001</v>
      </c>
      <c r="Z192" s="4"/>
      <c r="AA192" s="4"/>
      <c r="AB192" s="4"/>
    </row>
    <row r="193" spans="1:206" ht="13" x14ac:dyDescent="0.3">
      <c r="A193" s="4">
        <v>50</v>
      </c>
      <c r="B193" s="4">
        <v>0</v>
      </c>
      <c r="C193" s="4">
        <v>0</v>
      </c>
      <c r="D193" s="4">
        <v>1</v>
      </c>
      <c r="E193" s="4">
        <v>205</v>
      </c>
      <c r="F193" s="4">
        <f>ROUND(Source!S178,O193)</f>
        <v>37911694.229999997</v>
      </c>
      <c r="G193" s="4" t="s">
        <v>120</v>
      </c>
      <c r="H193" s="4" t="s">
        <v>121</v>
      </c>
      <c r="I193" s="4"/>
      <c r="J193" s="4"/>
      <c r="K193" s="4">
        <v>205</v>
      </c>
      <c r="L193" s="4">
        <v>14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37911694.229999997</v>
      </c>
      <c r="X193" s="4">
        <v>1</v>
      </c>
      <c r="Y193" s="4">
        <v>37911694.229999997</v>
      </c>
      <c r="Z193" s="4"/>
      <c r="AA193" s="4"/>
      <c r="AB193" s="4"/>
    </row>
    <row r="194" spans="1:206" ht="13" x14ac:dyDescent="0.3">
      <c r="A194" s="4">
        <v>50</v>
      </c>
      <c r="B194" s="4">
        <v>0</v>
      </c>
      <c r="C194" s="4">
        <v>0</v>
      </c>
      <c r="D194" s="4">
        <v>1</v>
      </c>
      <c r="E194" s="4">
        <v>232</v>
      </c>
      <c r="F194" s="4">
        <f>ROUND(Source!BC178,O194)</f>
        <v>0</v>
      </c>
      <c r="G194" s="4" t="s">
        <v>122</v>
      </c>
      <c r="H194" s="4" t="s">
        <v>123</v>
      </c>
      <c r="I194" s="4"/>
      <c r="J194" s="4"/>
      <c r="K194" s="4">
        <v>232</v>
      </c>
      <c r="L194" s="4">
        <v>15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ht="13" x14ac:dyDescent="0.3">
      <c r="A195" s="4">
        <v>50</v>
      </c>
      <c r="B195" s="4">
        <v>0</v>
      </c>
      <c r="C195" s="4">
        <v>0</v>
      </c>
      <c r="D195" s="4">
        <v>1</v>
      </c>
      <c r="E195" s="4">
        <v>214</v>
      </c>
      <c r="F195" s="4">
        <f>ROUND(Source!AS178,O195)</f>
        <v>0</v>
      </c>
      <c r="G195" s="4" t="s">
        <v>124</v>
      </c>
      <c r="H195" s="4" t="s">
        <v>125</v>
      </c>
      <c r="I195" s="4"/>
      <c r="J195" s="4"/>
      <c r="K195" s="4">
        <v>214</v>
      </c>
      <c r="L195" s="4">
        <v>16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ht="13" x14ac:dyDescent="0.3">
      <c r="A196" s="4">
        <v>50</v>
      </c>
      <c r="B196" s="4">
        <v>0</v>
      </c>
      <c r="C196" s="4">
        <v>0</v>
      </c>
      <c r="D196" s="4">
        <v>1</v>
      </c>
      <c r="E196" s="4">
        <v>215</v>
      </c>
      <c r="F196" s="4">
        <f>ROUND(Source!AT178,O196)</f>
        <v>0</v>
      </c>
      <c r="G196" s="4" t="s">
        <v>126</v>
      </c>
      <c r="H196" s="4" t="s">
        <v>127</v>
      </c>
      <c r="I196" s="4"/>
      <c r="J196" s="4"/>
      <c r="K196" s="4">
        <v>215</v>
      </c>
      <c r="L196" s="4">
        <v>17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ht="13" x14ac:dyDescent="0.3">
      <c r="A197" s="4">
        <v>50</v>
      </c>
      <c r="B197" s="4">
        <v>0</v>
      </c>
      <c r="C197" s="4">
        <v>0</v>
      </c>
      <c r="D197" s="4">
        <v>1</v>
      </c>
      <c r="E197" s="4">
        <v>217</v>
      </c>
      <c r="F197" s="4">
        <f>ROUND(Source!AU178,O197)</f>
        <v>172260623</v>
      </c>
      <c r="G197" s="4" t="s">
        <v>128</v>
      </c>
      <c r="H197" s="4" t="s">
        <v>129</v>
      </c>
      <c r="I197" s="4"/>
      <c r="J197" s="4"/>
      <c r="K197" s="4">
        <v>217</v>
      </c>
      <c r="L197" s="4">
        <v>18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172260623</v>
      </c>
      <c r="X197" s="4">
        <v>1</v>
      </c>
      <c r="Y197" s="4">
        <v>172260623</v>
      </c>
      <c r="Z197" s="4"/>
      <c r="AA197" s="4"/>
      <c r="AB197" s="4"/>
    </row>
    <row r="198" spans="1:206" ht="13" x14ac:dyDescent="0.3">
      <c r="A198" s="4">
        <v>50</v>
      </c>
      <c r="B198" s="4">
        <v>0</v>
      </c>
      <c r="C198" s="4">
        <v>0</v>
      </c>
      <c r="D198" s="4">
        <v>1</v>
      </c>
      <c r="E198" s="4">
        <v>230</v>
      </c>
      <c r="F198" s="4">
        <f>ROUND(Source!BA178,O198)</f>
        <v>0</v>
      </c>
      <c r="G198" s="4" t="s">
        <v>130</v>
      </c>
      <c r="H198" s="4" t="s">
        <v>131</v>
      </c>
      <c r="I198" s="4"/>
      <c r="J198" s="4"/>
      <c r="K198" s="4">
        <v>230</v>
      </c>
      <c r="L198" s="4">
        <v>19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06" ht="13" x14ac:dyDescent="0.3">
      <c r="A199" s="4">
        <v>50</v>
      </c>
      <c r="B199" s="4">
        <v>0</v>
      </c>
      <c r="C199" s="4">
        <v>0</v>
      </c>
      <c r="D199" s="4">
        <v>1</v>
      </c>
      <c r="E199" s="4">
        <v>206</v>
      </c>
      <c r="F199" s="4">
        <f>ROUND(Source!T178,O199)</f>
        <v>0</v>
      </c>
      <c r="G199" s="4" t="s">
        <v>132</v>
      </c>
      <c r="H199" s="4" t="s">
        <v>133</v>
      </c>
      <c r="I199" s="4"/>
      <c r="J199" s="4"/>
      <c r="K199" s="4">
        <v>206</v>
      </c>
      <c r="L199" s="4">
        <v>20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06" ht="13" x14ac:dyDescent="0.3">
      <c r="A200" s="4">
        <v>50</v>
      </c>
      <c r="B200" s="4">
        <v>0</v>
      </c>
      <c r="C200" s="4">
        <v>0</v>
      </c>
      <c r="D200" s="4">
        <v>1</v>
      </c>
      <c r="E200" s="4">
        <v>207</v>
      </c>
      <c r="F200" s="4">
        <f>Source!U178</f>
        <v>82232.137350000005</v>
      </c>
      <c r="G200" s="4" t="s">
        <v>134</v>
      </c>
      <c r="H200" s="4" t="s">
        <v>135</v>
      </c>
      <c r="I200" s="4"/>
      <c r="J200" s="4"/>
      <c r="K200" s="4">
        <v>207</v>
      </c>
      <c r="L200" s="4">
        <v>21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82232.13734999999</v>
      </c>
      <c r="X200" s="4">
        <v>1</v>
      </c>
      <c r="Y200" s="4">
        <v>82232.13734999999</v>
      </c>
      <c r="Z200" s="4"/>
      <c r="AA200" s="4"/>
      <c r="AB200" s="4"/>
    </row>
    <row r="201" spans="1:206" ht="13" x14ac:dyDescent="0.3">
      <c r="A201" s="4">
        <v>50</v>
      </c>
      <c r="B201" s="4">
        <v>0</v>
      </c>
      <c r="C201" s="4">
        <v>0</v>
      </c>
      <c r="D201" s="4">
        <v>1</v>
      </c>
      <c r="E201" s="4">
        <v>208</v>
      </c>
      <c r="F201" s="4">
        <f>Source!V178</f>
        <v>0</v>
      </c>
      <c r="G201" s="4" t="s">
        <v>136</v>
      </c>
      <c r="H201" s="4" t="s">
        <v>137</v>
      </c>
      <c r="I201" s="4"/>
      <c r="J201" s="4"/>
      <c r="K201" s="4">
        <v>208</v>
      </c>
      <c r="L201" s="4">
        <v>22</v>
      </c>
      <c r="M201" s="4">
        <v>3</v>
      </c>
      <c r="N201" s="4" t="s">
        <v>3</v>
      </c>
      <c r="O201" s="4">
        <v>-1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06" ht="13" x14ac:dyDescent="0.3">
      <c r="A202" s="4">
        <v>50</v>
      </c>
      <c r="B202" s="4">
        <v>0</v>
      </c>
      <c r="C202" s="4">
        <v>0</v>
      </c>
      <c r="D202" s="4">
        <v>1</v>
      </c>
      <c r="E202" s="4">
        <v>209</v>
      </c>
      <c r="F202" s="4">
        <f>ROUND(Source!W178,O202)</f>
        <v>0</v>
      </c>
      <c r="G202" s="4" t="s">
        <v>138</v>
      </c>
      <c r="H202" s="4" t="s">
        <v>139</v>
      </c>
      <c r="I202" s="4"/>
      <c r="J202" s="4"/>
      <c r="K202" s="4">
        <v>209</v>
      </c>
      <c r="L202" s="4">
        <v>23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06" ht="13" x14ac:dyDescent="0.3">
      <c r="A203" s="4">
        <v>50</v>
      </c>
      <c r="B203" s="4">
        <v>0</v>
      </c>
      <c r="C203" s="4">
        <v>0</v>
      </c>
      <c r="D203" s="4">
        <v>1</v>
      </c>
      <c r="E203" s="4">
        <v>233</v>
      </c>
      <c r="F203" s="4">
        <f>ROUND(Source!BD178,O203)</f>
        <v>0</v>
      </c>
      <c r="G203" s="4" t="s">
        <v>140</v>
      </c>
      <c r="H203" s="4" t="s">
        <v>141</v>
      </c>
      <c r="I203" s="4"/>
      <c r="J203" s="4"/>
      <c r="K203" s="4">
        <v>233</v>
      </c>
      <c r="L203" s="4">
        <v>24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06" ht="13" x14ac:dyDescent="0.3">
      <c r="A204" s="4">
        <v>50</v>
      </c>
      <c r="B204" s="4">
        <v>0</v>
      </c>
      <c r="C204" s="4">
        <v>0</v>
      </c>
      <c r="D204" s="4">
        <v>1</v>
      </c>
      <c r="E204" s="4">
        <v>210</v>
      </c>
      <c r="F204" s="4">
        <f>ROUND(Source!X178,O204)</f>
        <v>26538186</v>
      </c>
      <c r="G204" s="4" t="s">
        <v>142</v>
      </c>
      <c r="H204" s="4" t="s">
        <v>143</v>
      </c>
      <c r="I204" s="4"/>
      <c r="J204" s="4"/>
      <c r="K204" s="4">
        <v>210</v>
      </c>
      <c r="L204" s="4">
        <v>25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26538186</v>
      </c>
      <c r="X204" s="4">
        <v>1</v>
      </c>
      <c r="Y204" s="4">
        <v>26538186</v>
      </c>
      <c r="Z204" s="4"/>
      <c r="AA204" s="4"/>
      <c r="AB204" s="4"/>
    </row>
    <row r="205" spans="1:206" ht="13" x14ac:dyDescent="0.3">
      <c r="A205" s="4">
        <v>50</v>
      </c>
      <c r="B205" s="4">
        <v>0</v>
      </c>
      <c r="C205" s="4">
        <v>0</v>
      </c>
      <c r="D205" s="4">
        <v>1</v>
      </c>
      <c r="E205" s="4">
        <v>211</v>
      </c>
      <c r="F205" s="4">
        <f>ROUND(Source!Y178,O205)</f>
        <v>3791169.45</v>
      </c>
      <c r="G205" s="4" t="s">
        <v>144</v>
      </c>
      <c r="H205" s="4" t="s">
        <v>145</v>
      </c>
      <c r="I205" s="4"/>
      <c r="J205" s="4"/>
      <c r="K205" s="4">
        <v>211</v>
      </c>
      <c r="L205" s="4">
        <v>26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3791169.45</v>
      </c>
      <c r="X205" s="4">
        <v>1</v>
      </c>
      <c r="Y205" s="4">
        <v>3791169.45</v>
      </c>
      <c r="Z205" s="4"/>
      <c r="AA205" s="4"/>
      <c r="AB205" s="4"/>
    </row>
    <row r="206" spans="1:206" ht="13" x14ac:dyDescent="0.3">
      <c r="A206" s="4">
        <v>50</v>
      </c>
      <c r="B206" s="4">
        <v>0</v>
      </c>
      <c r="C206" s="4">
        <v>0</v>
      </c>
      <c r="D206" s="4">
        <v>1</v>
      </c>
      <c r="E206" s="4">
        <v>224</v>
      </c>
      <c r="F206" s="4">
        <f>ROUND(Source!AR178,O206)</f>
        <v>172260623</v>
      </c>
      <c r="G206" s="4" t="s">
        <v>146</v>
      </c>
      <c r="H206" s="4" t="s">
        <v>147</v>
      </c>
      <c r="I206" s="4"/>
      <c r="J206" s="4"/>
      <c r="K206" s="4">
        <v>224</v>
      </c>
      <c r="L206" s="4">
        <v>27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172260623</v>
      </c>
      <c r="X206" s="4">
        <v>1</v>
      </c>
      <c r="Y206" s="4">
        <v>172260623</v>
      </c>
      <c r="Z206" s="4"/>
      <c r="AA206" s="4"/>
      <c r="AB206" s="4"/>
    </row>
    <row r="208" spans="1:206" ht="13" x14ac:dyDescent="0.3">
      <c r="A208" s="2">
        <v>51</v>
      </c>
      <c r="B208" s="2">
        <f>B20</f>
        <v>1</v>
      </c>
      <c r="C208" s="2">
        <f>A20</f>
        <v>3</v>
      </c>
      <c r="D208" s="2">
        <f>ROW(A20)</f>
        <v>20</v>
      </c>
      <c r="E208" s="2"/>
      <c r="F208" s="2" t="str">
        <f>IF(F20&lt;&gt;"",F20,"")</f>
        <v>Новая локальная смета</v>
      </c>
      <c r="G208" s="2" t="str">
        <f>IF(G20&lt;&gt;"",G20,"")</f>
        <v>Локальная смета: Зона №3</v>
      </c>
      <c r="H208" s="2">
        <v>0</v>
      </c>
      <c r="I208" s="2"/>
      <c r="J208" s="2"/>
      <c r="K208" s="2"/>
      <c r="L208" s="2"/>
      <c r="M208" s="2"/>
      <c r="N208" s="2"/>
      <c r="O208" s="2">
        <f t="shared" ref="O208:T208" si="150">ROUND(O178+AB208,2)</f>
        <v>112070691.13</v>
      </c>
      <c r="P208" s="2">
        <f t="shared" si="150"/>
        <v>11513138.970000001</v>
      </c>
      <c r="Q208" s="2">
        <f t="shared" si="150"/>
        <v>62645857.93</v>
      </c>
      <c r="R208" s="2">
        <f t="shared" si="150"/>
        <v>27648681.870000001</v>
      </c>
      <c r="S208" s="2">
        <f t="shared" si="150"/>
        <v>37911694.229999997</v>
      </c>
      <c r="T208" s="2">
        <f t="shared" si="150"/>
        <v>0</v>
      </c>
      <c r="U208" s="2">
        <f>U178+AH208</f>
        <v>82232.137350000005</v>
      </c>
      <c r="V208" s="2">
        <f>V178+AI208</f>
        <v>0</v>
      </c>
      <c r="W208" s="2">
        <f>ROUND(W178+AJ208,2)</f>
        <v>0</v>
      </c>
      <c r="X208" s="2">
        <f>ROUND(X178+AK208,2)</f>
        <v>26538186</v>
      </c>
      <c r="Y208" s="2">
        <f>ROUND(Y178+AL208,2)</f>
        <v>3791169.45</v>
      </c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>
        <f t="shared" ref="AO208:BD208" si="151">ROUND(AO178+BX208,2)</f>
        <v>0</v>
      </c>
      <c r="AP208" s="2">
        <f t="shared" si="151"/>
        <v>0</v>
      </c>
      <c r="AQ208" s="2">
        <f t="shared" si="151"/>
        <v>0</v>
      </c>
      <c r="AR208" s="2">
        <f t="shared" si="151"/>
        <v>172260623</v>
      </c>
      <c r="AS208" s="2">
        <f t="shared" si="151"/>
        <v>0</v>
      </c>
      <c r="AT208" s="2">
        <f t="shared" si="151"/>
        <v>0</v>
      </c>
      <c r="AU208" s="2">
        <f t="shared" si="151"/>
        <v>172260623</v>
      </c>
      <c r="AV208" s="2">
        <f t="shared" si="151"/>
        <v>11513138.970000001</v>
      </c>
      <c r="AW208" s="2">
        <f t="shared" si="151"/>
        <v>11513138.970000001</v>
      </c>
      <c r="AX208" s="2">
        <f t="shared" si="151"/>
        <v>0</v>
      </c>
      <c r="AY208" s="2">
        <f t="shared" si="151"/>
        <v>11513138.970000001</v>
      </c>
      <c r="AZ208" s="2">
        <f t="shared" si="151"/>
        <v>0</v>
      </c>
      <c r="BA208" s="2">
        <f t="shared" si="151"/>
        <v>0</v>
      </c>
      <c r="BB208" s="2">
        <f t="shared" si="151"/>
        <v>0</v>
      </c>
      <c r="BC208" s="2">
        <f t="shared" si="151"/>
        <v>0</v>
      </c>
      <c r="BD208" s="2">
        <f t="shared" si="151"/>
        <v>0</v>
      </c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>
        <v>0</v>
      </c>
    </row>
    <row r="210" spans="1:28" ht="13" x14ac:dyDescent="0.3">
      <c r="A210" s="4">
        <v>50</v>
      </c>
      <c r="B210" s="4">
        <v>0</v>
      </c>
      <c r="C210" s="4">
        <v>0</v>
      </c>
      <c r="D210" s="4">
        <v>1</v>
      </c>
      <c r="E210" s="4">
        <v>201</v>
      </c>
      <c r="F210" s="4">
        <f>ROUND(Source!O208,O210)</f>
        <v>112070691.13</v>
      </c>
      <c r="G210" s="4" t="s">
        <v>94</v>
      </c>
      <c r="H210" s="4" t="s">
        <v>95</v>
      </c>
      <c r="I210" s="4"/>
      <c r="J210" s="4"/>
      <c r="K210" s="4">
        <v>201</v>
      </c>
      <c r="L210" s="4">
        <v>1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112070691.13</v>
      </c>
      <c r="X210" s="4">
        <v>1</v>
      </c>
      <c r="Y210" s="4">
        <v>112070691.13</v>
      </c>
      <c r="Z210" s="4"/>
      <c r="AA210" s="4"/>
      <c r="AB210" s="4"/>
    </row>
    <row r="211" spans="1:28" ht="13" x14ac:dyDescent="0.3">
      <c r="A211" s="4">
        <v>50</v>
      </c>
      <c r="B211" s="4">
        <v>0</v>
      </c>
      <c r="C211" s="4">
        <v>0</v>
      </c>
      <c r="D211" s="4">
        <v>1</v>
      </c>
      <c r="E211" s="4">
        <v>202</v>
      </c>
      <c r="F211" s="4">
        <f>ROUND(Source!P208,O211)</f>
        <v>11513138.970000001</v>
      </c>
      <c r="G211" s="4" t="s">
        <v>96</v>
      </c>
      <c r="H211" s="4" t="s">
        <v>97</v>
      </c>
      <c r="I211" s="4"/>
      <c r="J211" s="4"/>
      <c r="K211" s="4">
        <v>202</v>
      </c>
      <c r="L211" s="4">
        <v>2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11513138.970000001</v>
      </c>
      <c r="X211" s="4">
        <v>1</v>
      </c>
      <c r="Y211" s="4">
        <v>11513138.970000001</v>
      </c>
      <c r="Z211" s="4"/>
      <c r="AA211" s="4"/>
      <c r="AB211" s="4"/>
    </row>
    <row r="212" spans="1:28" ht="13" x14ac:dyDescent="0.3">
      <c r="A212" s="4">
        <v>50</v>
      </c>
      <c r="B212" s="4">
        <v>0</v>
      </c>
      <c r="C212" s="4">
        <v>0</v>
      </c>
      <c r="D212" s="4">
        <v>1</v>
      </c>
      <c r="E212" s="4">
        <v>222</v>
      </c>
      <c r="F212" s="4">
        <f>ROUND(Source!AO208,O212)</f>
        <v>0</v>
      </c>
      <c r="G212" s="4" t="s">
        <v>98</v>
      </c>
      <c r="H212" s="4" t="s">
        <v>99</v>
      </c>
      <c r="I212" s="4"/>
      <c r="J212" s="4"/>
      <c r="K212" s="4">
        <v>222</v>
      </c>
      <c r="L212" s="4">
        <v>3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ht="13" x14ac:dyDescent="0.3">
      <c r="A213" s="4">
        <v>50</v>
      </c>
      <c r="B213" s="4">
        <v>0</v>
      </c>
      <c r="C213" s="4">
        <v>0</v>
      </c>
      <c r="D213" s="4">
        <v>1</v>
      </c>
      <c r="E213" s="4">
        <v>225</v>
      </c>
      <c r="F213" s="4">
        <f>ROUND(Source!AV208,O213)</f>
        <v>11513138.970000001</v>
      </c>
      <c r="G213" s="4" t="s">
        <v>100</v>
      </c>
      <c r="H213" s="4" t="s">
        <v>101</v>
      </c>
      <c r="I213" s="4"/>
      <c r="J213" s="4"/>
      <c r="K213" s="4">
        <v>225</v>
      </c>
      <c r="L213" s="4">
        <v>4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11513138.970000001</v>
      </c>
      <c r="X213" s="4">
        <v>1</v>
      </c>
      <c r="Y213" s="4">
        <v>11513138.970000001</v>
      </c>
      <c r="Z213" s="4"/>
      <c r="AA213" s="4"/>
      <c r="AB213" s="4"/>
    </row>
    <row r="214" spans="1:28" ht="13" x14ac:dyDescent="0.3">
      <c r="A214" s="4">
        <v>50</v>
      </c>
      <c r="B214" s="4">
        <v>0</v>
      </c>
      <c r="C214" s="4">
        <v>0</v>
      </c>
      <c r="D214" s="4">
        <v>1</v>
      </c>
      <c r="E214" s="4">
        <v>226</v>
      </c>
      <c r="F214" s="4">
        <f>ROUND(Source!AW208,O214)</f>
        <v>11513138.970000001</v>
      </c>
      <c r="G214" s="4" t="s">
        <v>102</v>
      </c>
      <c r="H214" s="4" t="s">
        <v>103</v>
      </c>
      <c r="I214" s="4"/>
      <c r="J214" s="4"/>
      <c r="K214" s="4">
        <v>226</v>
      </c>
      <c r="L214" s="4">
        <v>5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11513138.970000001</v>
      </c>
      <c r="X214" s="4">
        <v>1</v>
      </c>
      <c r="Y214" s="4">
        <v>11513138.970000001</v>
      </c>
      <c r="Z214" s="4"/>
      <c r="AA214" s="4"/>
      <c r="AB214" s="4"/>
    </row>
    <row r="215" spans="1:28" ht="13" x14ac:dyDescent="0.3">
      <c r="A215" s="4">
        <v>50</v>
      </c>
      <c r="B215" s="4">
        <v>0</v>
      </c>
      <c r="C215" s="4">
        <v>0</v>
      </c>
      <c r="D215" s="4">
        <v>1</v>
      </c>
      <c r="E215" s="4">
        <v>227</v>
      </c>
      <c r="F215" s="4">
        <f>ROUND(Source!AX208,O215)</f>
        <v>0</v>
      </c>
      <c r="G215" s="4" t="s">
        <v>104</v>
      </c>
      <c r="H215" s="4" t="s">
        <v>105</v>
      </c>
      <c r="I215" s="4"/>
      <c r="J215" s="4"/>
      <c r="K215" s="4">
        <v>227</v>
      </c>
      <c r="L215" s="4">
        <v>6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ht="13" x14ac:dyDescent="0.3">
      <c r="A216" s="4">
        <v>50</v>
      </c>
      <c r="B216" s="4">
        <v>0</v>
      </c>
      <c r="C216" s="4">
        <v>0</v>
      </c>
      <c r="D216" s="4">
        <v>1</v>
      </c>
      <c r="E216" s="4">
        <v>228</v>
      </c>
      <c r="F216" s="4">
        <f>ROUND(Source!AY208,O216)</f>
        <v>11513138.970000001</v>
      </c>
      <c r="G216" s="4" t="s">
        <v>106</v>
      </c>
      <c r="H216" s="4" t="s">
        <v>107</v>
      </c>
      <c r="I216" s="4"/>
      <c r="J216" s="4"/>
      <c r="K216" s="4">
        <v>228</v>
      </c>
      <c r="L216" s="4">
        <v>7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11513138.970000001</v>
      </c>
      <c r="X216" s="4">
        <v>1</v>
      </c>
      <c r="Y216" s="4">
        <v>11513138.970000001</v>
      </c>
      <c r="Z216" s="4"/>
      <c r="AA216" s="4"/>
      <c r="AB216" s="4"/>
    </row>
    <row r="217" spans="1:28" ht="13" x14ac:dyDescent="0.3">
      <c r="A217" s="4">
        <v>50</v>
      </c>
      <c r="B217" s="4">
        <v>0</v>
      </c>
      <c r="C217" s="4">
        <v>0</v>
      </c>
      <c r="D217" s="4">
        <v>1</v>
      </c>
      <c r="E217" s="4">
        <v>216</v>
      </c>
      <c r="F217" s="4">
        <f>ROUND(Source!AP208,O217)</f>
        <v>0</v>
      </c>
      <c r="G217" s="4" t="s">
        <v>108</v>
      </c>
      <c r="H217" s="4" t="s">
        <v>109</v>
      </c>
      <c r="I217" s="4"/>
      <c r="J217" s="4"/>
      <c r="K217" s="4">
        <v>216</v>
      </c>
      <c r="L217" s="4">
        <v>8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ht="13" x14ac:dyDescent="0.3">
      <c r="A218" s="4">
        <v>50</v>
      </c>
      <c r="B218" s="4">
        <v>0</v>
      </c>
      <c r="C218" s="4">
        <v>0</v>
      </c>
      <c r="D218" s="4">
        <v>1</v>
      </c>
      <c r="E218" s="4">
        <v>223</v>
      </c>
      <c r="F218" s="4">
        <f>ROUND(Source!AQ208,O218)</f>
        <v>0</v>
      </c>
      <c r="G218" s="4" t="s">
        <v>110</v>
      </c>
      <c r="H218" s="4" t="s">
        <v>111</v>
      </c>
      <c r="I218" s="4"/>
      <c r="J218" s="4"/>
      <c r="K218" s="4">
        <v>223</v>
      </c>
      <c r="L218" s="4">
        <v>9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ht="13" x14ac:dyDescent="0.3">
      <c r="A219" s="4">
        <v>50</v>
      </c>
      <c r="B219" s="4">
        <v>0</v>
      </c>
      <c r="C219" s="4">
        <v>0</v>
      </c>
      <c r="D219" s="4">
        <v>1</v>
      </c>
      <c r="E219" s="4">
        <v>229</v>
      </c>
      <c r="F219" s="4">
        <f>ROUND(Source!AZ208,O219)</f>
        <v>0</v>
      </c>
      <c r="G219" s="4" t="s">
        <v>112</v>
      </c>
      <c r="H219" s="4" t="s">
        <v>113</v>
      </c>
      <c r="I219" s="4"/>
      <c r="J219" s="4"/>
      <c r="K219" s="4">
        <v>229</v>
      </c>
      <c r="L219" s="4">
        <v>10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ht="13" x14ac:dyDescent="0.3">
      <c r="A220" s="4">
        <v>50</v>
      </c>
      <c r="B220" s="4">
        <v>0</v>
      </c>
      <c r="C220" s="4">
        <v>0</v>
      </c>
      <c r="D220" s="4">
        <v>1</v>
      </c>
      <c r="E220" s="4">
        <v>203</v>
      </c>
      <c r="F220" s="4">
        <f>ROUND(Source!Q208,O220)</f>
        <v>62645857.93</v>
      </c>
      <c r="G220" s="4" t="s">
        <v>114</v>
      </c>
      <c r="H220" s="4" t="s">
        <v>115</v>
      </c>
      <c r="I220" s="4"/>
      <c r="J220" s="4"/>
      <c r="K220" s="4">
        <v>203</v>
      </c>
      <c r="L220" s="4">
        <v>11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62645857.93</v>
      </c>
      <c r="X220" s="4">
        <v>1</v>
      </c>
      <c r="Y220" s="4">
        <v>62645857.93</v>
      </c>
      <c r="Z220" s="4"/>
      <c r="AA220" s="4"/>
      <c r="AB220" s="4"/>
    </row>
    <row r="221" spans="1:28" ht="13" x14ac:dyDescent="0.3">
      <c r="A221" s="4">
        <v>50</v>
      </c>
      <c r="B221" s="4">
        <v>0</v>
      </c>
      <c r="C221" s="4">
        <v>0</v>
      </c>
      <c r="D221" s="4">
        <v>1</v>
      </c>
      <c r="E221" s="4">
        <v>231</v>
      </c>
      <c r="F221" s="4">
        <f>ROUND(Source!BB208,O221)</f>
        <v>0</v>
      </c>
      <c r="G221" s="4" t="s">
        <v>116</v>
      </c>
      <c r="H221" s="4" t="s">
        <v>117</v>
      </c>
      <c r="I221" s="4"/>
      <c r="J221" s="4"/>
      <c r="K221" s="4">
        <v>231</v>
      </c>
      <c r="L221" s="4">
        <v>12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ht="13" x14ac:dyDescent="0.3">
      <c r="A222" s="4">
        <v>50</v>
      </c>
      <c r="B222" s="4">
        <v>0</v>
      </c>
      <c r="C222" s="4">
        <v>0</v>
      </c>
      <c r="D222" s="4">
        <v>1</v>
      </c>
      <c r="E222" s="4">
        <v>204</v>
      </c>
      <c r="F222" s="4">
        <f>ROUND(Source!R208,O222)</f>
        <v>27648681.870000001</v>
      </c>
      <c r="G222" s="4" t="s">
        <v>118</v>
      </c>
      <c r="H222" s="4" t="s">
        <v>119</v>
      </c>
      <c r="I222" s="4"/>
      <c r="J222" s="4"/>
      <c r="K222" s="4">
        <v>204</v>
      </c>
      <c r="L222" s="4">
        <v>13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27648681.870000001</v>
      </c>
      <c r="X222" s="4">
        <v>1</v>
      </c>
      <c r="Y222" s="4">
        <v>27648681.870000001</v>
      </c>
      <c r="Z222" s="4"/>
      <c r="AA222" s="4"/>
      <c r="AB222" s="4"/>
    </row>
    <row r="223" spans="1:28" ht="13" x14ac:dyDescent="0.3">
      <c r="A223" s="4">
        <v>50</v>
      </c>
      <c r="B223" s="4">
        <v>0</v>
      </c>
      <c r="C223" s="4">
        <v>0</v>
      </c>
      <c r="D223" s="4">
        <v>1</v>
      </c>
      <c r="E223" s="4">
        <v>205</v>
      </c>
      <c r="F223" s="4">
        <f>ROUND(Source!S208,O223)</f>
        <v>37911694.229999997</v>
      </c>
      <c r="G223" s="4" t="s">
        <v>120</v>
      </c>
      <c r="H223" s="4" t="s">
        <v>121</v>
      </c>
      <c r="I223" s="4"/>
      <c r="J223" s="4"/>
      <c r="K223" s="4">
        <v>205</v>
      </c>
      <c r="L223" s="4">
        <v>14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37911694.229999997</v>
      </c>
      <c r="X223" s="4">
        <v>1</v>
      </c>
      <c r="Y223" s="4">
        <v>37911694.229999997</v>
      </c>
      <c r="Z223" s="4"/>
      <c r="AA223" s="4"/>
      <c r="AB223" s="4"/>
    </row>
    <row r="224" spans="1:28" ht="13" x14ac:dyDescent="0.3">
      <c r="A224" s="4">
        <v>50</v>
      </c>
      <c r="B224" s="4">
        <v>0</v>
      </c>
      <c r="C224" s="4">
        <v>0</v>
      </c>
      <c r="D224" s="4">
        <v>1</v>
      </c>
      <c r="E224" s="4">
        <v>232</v>
      </c>
      <c r="F224" s="4">
        <f>ROUND(Source!BC208,O224)</f>
        <v>0</v>
      </c>
      <c r="G224" s="4" t="s">
        <v>122</v>
      </c>
      <c r="H224" s="4" t="s">
        <v>123</v>
      </c>
      <c r="I224" s="4"/>
      <c r="J224" s="4"/>
      <c r="K224" s="4">
        <v>232</v>
      </c>
      <c r="L224" s="4">
        <v>15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06" ht="13" x14ac:dyDescent="0.3">
      <c r="A225" s="4">
        <v>50</v>
      </c>
      <c r="B225" s="4">
        <v>0</v>
      </c>
      <c r="C225" s="4">
        <v>0</v>
      </c>
      <c r="D225" s="4">
        <v>1</v>
      </c>
      <c r="E225" s="4">
        <v>214</v>
      </c>
      <c r="F225" s="4">
        <f>ROUND(Source!AS208,O225)</f>
        <v>0</v>
      </c>
      <c r="G225" s="4" t="s">
        <v>124</v>
      </c>
      <c r="H225" s="4" t="s">
        <v>125</v>
      </c>
      <c r="I225" s="4"/>
      <c r="J225" s="4"/>
      <c r="K225" s="4">
        <v>214</v>
      </c>
      <c r="L225" s="4">
        <v>16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ht="13" x14ac:dyDescent="0.3">
      <c r="A226" s="4">
        <v>50</v>
      </c>
      <c r="B226" s="4">
        <v>0</v>
      </c>
      <c r="C226" s="4">
        <v>0</v>
      </c>
      <c r="D226" s="4">
        <v>1</v>
      </c>
      <c r="E226" s="4">
        <v>215</v>
      </c>
      <c r="F226" s="4">
        <f>ROUND(Source!AT208,O226)</f>
        <v>0</v>
      </c>
      <c r="G226" s="4" t="s">
        <v>126</v>
      </c>
      <c r="H226" s="4" t="s">
        <v>127</v>
      </c>
      <c r="I226" s="4"/>
      <c r="J226" s="4"/>
      <c r="K226" s="4">
        <v>215</v>
      </c>
      <c r="L226" s="4">
        <v>17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ht="13" x14ac:dyDescent="0.3">
      <c r="A227" s="4">
        <v>50</v>
      </c>
      <c r="B227" s="4">
        <v>0</v>
      </c>
      <c r="C227" s="4">
        <v>0</v>
      </c>
      <c r="D227" s="4">
        <v>1</v>
      </c>
      <c r="E227" s="4">
        <v>217</v>
      </c>
      <c r="F227" s="4">
        <f>ROUND(Source!AU208,O227)</f>
        <v>172260623</v>
      </c>
      <c r="G227" s="4" t="s">
        <v>128</v>
      </c>
      <c r="H227" s="4" t="s">
        <v>129</v>
      </c>
      <c r="I227" s="4"/>
      <c r="J227" s="4"/>
      <c r="K227" s="4">
        <v>217</v>
      </c>
      <c r="L227" s="4">
        <v>18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172260623</v>
      </c>
      <c r="X227" s="4">
        <v>1</v>
      </c>
      <c r="Y227" s="4">
        <v>172260623</v>
      </c>
      <c r="Z227" s="4"/>
      <c r="AA227" s="4"/>
      <c r="AB227" s="4"/>
    </row>
    <row r="228" spans="1:206" ht="13" x14ac:dyDescent="0.3">
      <c r="A228" s="4">
        <v>50</v>
      </c>
      <c r="B228" s="4">
        <v>0</v>
      </c>
      <c r="C228" s="4">
        <v>0</v>
      </c>
      <c r="D228" s="4">
        <v>1</v>
      </c>
      <c r="E228" s="4">
        <v>230</v>
      </c>
      <c r="F228" s="4">
        <f>ROUND(Source!BA208,O228)</f>
        <v>0</v>
      </c>
      <c r="G228" s="4" t="s">
        <v>130</v>
      </c>
      <c r="H228" s="4" t="s">
        <v>131</v>
      </c>
      <c r="I228" s="4"/>
      <c r="J228" s="4"/>
      <c r="K228" s="4">
        <v>230</v>
      </c>
      <c r="L228" s="4">
        <v>19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ht="13" x14ac:dyDescent="0.3">
      <c r="A229" s="4">
        <v>50</v>
      </c>
      <c r="B229" s="4">
        <v>0</v>
      </c>
      <c r="C229" s="4">
        <v>0</v>
      </c>
      <c r="D229" s="4">
        <v>1</v>
      </c>
      <c r="E229" s="4">
        <v>206</v>
      </c>
      <c r="F229" s="4">
        <f>ROUND(Source!T208,O229)</f>
        <v>0</v>
      </c>
      <c r="G229" s="4" t="s">
        <v>132</v>
      </c>
      <c r="H229" s="4" t="s">
        <v>133</v>
      </c>
      <c r="I229" s="4"/>
      <c r="J229" s="4"/>
      <c r="K229" s="4">
        <v>206</v>
      </c>
      <c r="L229" s="4">
        <v>20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ht="13" x14ac:dyDescent="0.3">
      <c r="A230" s="4">
        <v>50</v>
      </c>
      <c r="B230" s="4">
        <v>0</v>
      </c>
      <c r="C230" s="4">
        <v>0</v>
      </c>
      <c r="D230" s="4">
        <v>1</v>
      </c>
      <c r="E230" s="4">
        <v>207</v>
      </c>
      <c r="F230" s="4">
        <f>Source!U208</f>
        <v>82232.137350000005</v>
      </c>
      <c r="G230" s="4" t="s">
        <v>134</v>
      </c>
      <c r="H230" s="4" t="s">
        <v>135</v>
      </c>
      <c r="I230" s="4"/>
      <c r="J230" s="4"/>
      <c r="K230" s="4">
        <v>207</v>
      </c>
      <c r="L230" s="4">
        <v>21</v>
      </c>
      <c r="M230" s="4">
        <v>3</v>
      </c>
      <c r="N230" s="4" t="s">
        <v>3</v>
      </c>
      <c r="O230" s="4">
        <v>-1</v>
      </c>
      <c r="P230" s="4"/>
      <c r="Q230" s="4"/>
      <c r="R230" s="4"/>
      <c r="S230" s="4"/>
      <c r="T230" s="4"/>
      <c r="U230" s="4"/>
      <c r="V230" s="4"/>
      <c r="W230" s="4">
        <v>82232.13734999999</v>
      </c>
      <c r="X230" s="4">
        <v>1</v>
      </c>
      <c r="Y230" s="4">
        <v>82232.13734999999</v>
      </c>
      <c r="Z230" s="4"/>
      <c r="AA230" s="4"/>
      <c r="AB230" s="4"/>
    </row>
    <row r="231" spans="1:206" ht="13" x14ac:dyDescent="0.3">
      <c r="A231" s="4">
        <v>50</v>
      </c>
      <c r="B231" s="4">
        <v>0</v>
      </c>
      <c r="C231" s="4">
        <v>0</v>
      </c>
      <c r="D231" s="4">
        <v>1</v>
      </c>
      <c r="E231" s="4">
        <v>208</v>
      </c>
      <c r="F231" s="4">
        <f>Source!V208</f>
        <v>0</v>
      </c>
      <c r="G231" s="4" t="s">
        <v>136</v>
      </c>
      <c r="H231" s="4" t="s">
        <v>137</v>
      </c>
      <c r="I231" s="4"/>
      <c r="J231" s="4"/>
      <c r="K231" s="4">
        <v>208</v>
      </c>
      <c r="L231" s="4">
        <v>22</v>
      </c>
      <c r="M231" s="4">
        <v>3</v>
      </c>
      <c r="N231" s="4" t="s">
        <v>3</v>
      </c>
      <c r="O231" s="4">
        <v>-1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ht="13" x14ac:dyDescent="0.3">
      <c r="A232" s="4">
        <v>50</v>
      </c>
      <c r="B232" s="4">
        <v>0</v>
      </c>
      <c r="C232" s="4">
        <v>0</v>
      </c>
      <c r="D232" s="4">
        <v>1</v>
      </c>
      <c r="E232" s="4">
        <v>209</v>
      </c>
      <c r="F232" s="4">
        <f>ROUND(Source!W208,O232)</f>
        <v>0</v>
      </c>
      <c r="G232" s="4" t="s">
        <v>138</v>
      </c>
      <c r="H232" s="4" t="s">
        <v>139</v>
      </c>
      <c r="I232" s="4"/>
      <c r="J232" s="4"/>
      <c r="K232" s="4">
        <v>209</v>
      </c>
      <c r="L232" s="4">
        <v>23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ht="13" x14ac:dyDescent="0.3">
      <c r="A233" s="4">
        <v>50</v>
      </c>
      <c r="B233" s="4">
        <v>0</v>
      </c>
      <c r="C233" s="4">
        <v>0</v>
      </c>
      <c r="D233" s="4">
        <v>1</v>
      </c>
      <c r="E233" s="4">
        <v>233</v>
      </c>
      <c r="F233" s="4">
        <f>ROUND(Source!BD208,O233)</f>
        <v>0</v>
      </c>
      <c r="G233" s="4" t="s">
        <v>140</v>
      </c>
      <c r="H233" s="4" t="s">
        <v>141</v>
      </c>
      <c r="I233" s="4"/>
      <c r="J233" s="4"/>
      <c r="K233" s="4">
        <v>233</v>
      </c>
      <c r="L233" s="4">
        <v>24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ht="13" x14ac:dyDescent="0.3">
      <c r="A234" s="4">
        <v>50</v>
      </c>
      <c r="B234" s="4">
        <v>0</v>
      </c>
      <c r="C234" s="4">
        <v>0</v>
      </c>
      <c r="D234" s="4">
        <v>1</v>
      </c>
      <c r="E234" s="4">
        <v>210</v>
      </c>
      <c r="F234" s="4">
        <f>ROUND(Source!X208,O234)</f>
        <v>26538186</v>
      </c>
      <c r="G234" s="4" t="s">
        <v>142</v>
      </c>
      <c r="H234" s="4" t="s">
        <v>143</v>
      </c>
      <c r="I234" s="4"/>
      <c r="J234" s="4"/>
      <c r="K234" s="4">
        <v>210</v>
      </c>
      <c r="L234" s="4">
        <v>25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26538186</v>
      </c>
      <c r="X234" s="4">
        <v>1</v>
      </c>
      <c r="Y234" s="4">
        <v>26538186</v>
      </c>
      <c r="Z234" s="4"/>
      <c r="AA234" s="4"/>
      <c r="AB234" s="4"/>
    </row>
    <row r="235" spans="1:206" ht="13" x14ac:dyDescent="0.3">
      <c r="A235" s="4">
        <v>50</v>
      </c>
      <c r="B235" s="4">
        <v>0</v>
      </c>
      <c r="C235" s="4">
        <v>0</v>
      </c>
      <c r="D235" s="4">
        <v>1</v>
      </c>
      <c r="E235" s="4">
        <v>211</v>
      </c>
      <c r="F235" s="4">
        <f>ROUND(Source!Y208,O235)</f>
        <v>3791169.45</v>
      </c>
      <c r="G235" s="4" t="s">
        <v>144</v>
      </c>
      <c r="H235" s="4" t="s">
        <v>145</v>
      </c>
      <c r="I235" s="4"/>
      <c r="J235" s="4"/>
      <c r="K235" s="4">
        <v>211</v>
      </c>
      <c r="L235" s="4">
        <v>26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3791169.45</v>
      </c>
      <c r="X235" s="4">
        <v>1</v>
      </c>
      <c r="Y235" s="4">
        <v>3791169.45</v>
      </c>
      <c r="Z235" s="4"/>
      <c r="AA235" s="4"/>
      <c r="AB235" s="4"/>
    </row>
    <row r="236" spans="1:206" ht="13" x14ac:dyDescent="0.3">
      <c r="A236" s="4">
        <v>50</v>
      </c>
      <c r="B236" s="4">
        <v>0</v>
      </c>
      <c r="C236" s="4">
        <v>0</v>
      </c>
      <c r="D236" s="4">
        <v>1</v>
      </c>
      <c r="E236" s="4">
        <v>224</v>
      </c>
      <c r="F236" s="4">
        <f>ROUND(Source!AR208,O236)</f>
        <v>172260623</v>
      </c>
      <c r="G236" s="4" t="s">
        <v>146</v>
      </c>
      <c r="H236" s="4" t="s">
        <v>147</v>
      </c>
      <c r="I236" s="4"/>
      <c r="J236" s="4"/>
      <c r="K236" s="4">
        <v>224</v>
      </c>
      <c r="L236" s="4">
        <v>27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172260623</v>
      </c>
      <c r="X236" s="4">
        <v>1</v>
      </c>
      <c r="Y236" s="4">
        <v>172260623</v>
      </c>
      <c r="Z236" s="4"/>
      <c r="AA236" s="4"/>
      <c r="AB236" s="4"/>
    </row>
    <row r="237" spans="1:206" ht="13" x14ac:dyDescent="0.3">
      <c r="A237" s="4">
        <v>50</v>
      </c>
      <c r="B237" s="4">
        <v>1</v>
      </c>
      <c r="C237" s="4">
        <v>0</v>
      </c>
      <c r="D237" s="4">
        <v>2</v>
      </c>
      <c r="E237" s="4">
        <v>0</v>
      </c>
      <c r="F237" s="4">
        <f>ROUND(F236*0.22,O237)</f>
        <v>37897337.060000002</v>
      </c>
      <c r="G237" s="4" t="s">
        <v>3</v>
      </c>
      <c r="H237" s="4" t="s">
        <v>370</v>
      </c>
      <c r="I237" s="4"/>
      <c r="J237" s="4"/>
      <c r="K237" s="4">
        <v>212</v>
      </c>
      <c r="L237" s="4">
        <v>28</v>
      </c>
      <c r="M237" s="4">
        <v>0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34452124.600000001</v>
      </c>
      <c r="X237" s="4">
        <v>1</v>
      </c>
      <c r="Y237" s="4">
        <v>34452124.600000001</v>
      </c>
      <c r="Z237" s="4"/>
      <c r="AA237" s="4"/>
      <c r="AB237" s="4"/>
    </row>
    <row r="238" spans="1:206" ht="13" x14ac:dyDescent="0.3">
      <c r="A238" s="4">
        <v>50</v>
      </c>
      <c r="B238" s="4">
        <v>1</v>
      </c>
      <c r="C238" s="4">
        <v>0</v>
      </c>
      <c r="D238" s="4">
        <v>2</v>
      </c>
      <c r="E238" s="4">
        <v>0</v>
      </c>
      <c r="F238" s="4">
        <f>ROUND(F236*1.2,O238)</f>
        <v>206712747.59999999</v>
      </c>
      <c r="G238" s="4" t="s">
        <v>3</v>
      </c>
      <c r="H238" s="4" t="s">
        <v>249</v>
      </c>
      <c r="I238" s="4"/>
      <c r="J238" s="4"/>
      <c r="K238" s="4">
        <v>212</v>
      </c>
      <c r="L238" s="4">
        <v>29</v>
      </c>
      <c r="M238" s="4">
        <v>0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206712747.59999999</v>
      </c>
      <c r="X238" s="4">
        <v>1</v>
      </c>
      <c r="Y238" s="4">
        <v>206712747.59999999</v>
      </c>
      <c r="Z238" s="4"/>
      <c r="AA238" s="4"/>
      <c r="AB238" s="4"/>
    </row>
    <row r="240" spans="1:206" ht="13" x14ac:dyDescent="0.3">
      <c r="A240" s="2">
        <v>51</v>
      </c>
      <c r="B240" s="2">
        <f>B12</f>
        <v>276</v>
      </c>
      <c r="C240" s="2">
        <f>A12</f>
        <v>1</v>
      </c>
      <c r="D240" s="2">
        <f>ROW(A12)</f>
        <v>12</v>
      </c>
      <c r="E240" s="2"/>
      <c r="F240" s="2" t="str">
        <f>IF(F12&lt;&gt;"",F12,"")</f>
        <v>Новый объект</v>
      </c>
      <c r="G240" s="2" t="str">
        <f>IF(G12&lt;&gt;"",G12,"")</f>
        <v>Зона 3</v>
      </c>
      <c r="H240" s="2">
        <v>0</v>
      </c>
      <c r="I240" s="2"/>
      <c r="J240" s="2"/>
      <c r="K240" s="2"/>
      <c r="L240" s="2"/>
      <c r="M240" s="2"/>
      <c r="N240" s="2"/>
      <c r="O240" s="2">
        <f t="shared" ref="O240:T240" si="152">ROUND(O208,2)</f>
        <v>112070691.13</v>
      </c>
      <c r="P240" s="2">
        <f t="shared" si="152"/>
        <v>11513138.970000001</v>
      </c>
      <c r="Q240" s="2">
        <f t="shared" si="152"/>
        <v>62645857.93</v>
      </c>
      <c r="R240" s="2">
        <f t="shared" si="152"/>
        <v>27648681.870000001</v>
      </c>
      <c r="S240" s="2">
        <f t="shared" si="152"/>
        <v>37911694.229999997</v>
      </c>
      <c r="T240" s="2">
        <f t="shared" si="152"/>
        <v>0</v>
      </c>
      <c r="U240" s="2">
        <f>U208</f>
        <v>82232.137350000005</v>
      </c>
      <c r="V240" s="2">
        <f>V208</f>
        <v>0</v>
      </c>
      <c r="W240" s="2">
        <f>ROUND(W208,2)</f>
        <v>0</v>
      </c>
      <c r="X240" s="2">
        <f>ROUND(X208,2)</f>
        <v>26538186</v>
      </c>
      <c r="Y240" s="2">
        <f>ROUND(Y208,2)</f>
        <v>3791169.45</v>
      </c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>
        <f t="shared" ref="AO240:BD240" si="153">ROUND(AO208,2)</f>
        <v>0</v>
      </c>
      <c r="AP240" s="2">
        <f t="shared" si="153"/>
        <v>0</v>
      </c>
      <c r="AQ240" s="2">
        <f t="shared" si="153"/>
        <v>0</v>
      </c>
      <c r="AR240" s="2">
        <f t="shared" si="153"/>
        <v>172260623</v>
      </c>
      <c r="AS240" s="2">
        <f t="shared" si="153"/>
        <v>0</v>
      </c>
      <c r="AT240" s="2">
        <f t="shared" si="153"/>
        <v>0</v>
      </c>
      <c r="AU240" s="2">
        <f t="shared" si="153"/>
        <v>172260623</v>
      </c>
      <c r="AV240" s="2">
        <f t="shared" si="153"/>
        <v>11513138.970000001</v>
      </c>
      <c r="AW240" s="2">
        <f t="shared" si="153"/>
        <v>11513138.970000001</v>
      </c>
      <c r="AX240" s="2">
        <f t="shared" si="153"/>
        <v>0</v>
      </c>
      <c r="AY240" s="2">
        <f t="shared" si="153"/>
        <v>11513138.970000001</v>
      </c>
      <c r="AZ240" s="2">
        <f t="shared" si="153"/>
        <v>0</v>
      </c>
      <c r="BA240" s="2">
        <f t="shared" si="153"/>
        <v>0</v>
      </c>
      <c r="BB240" s="2">
        <f t="shared" si="153"/>
        <v>0</v>
      </c>
      <c r="BC240" s="2">
        <f t="shared" si="153"/>
        <v>0</v>
      </c>
      <c r="BD240" s="2">
        <f t="shared" si="153"/>
        <v>0</v>
      </c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3"/>
      <c r="DH240" s="3"/>
      <c r="DI240" s="3"/>
      <c r="DJ240" s="3"/>
      <c r="DK240" s="3"/>
      <c r="DL240" s="3"/>
      <c r="DM240" s="3"/>
      <c r="DN240" s="3"/>
      <c r="DO240" s="3"/>
      <c r="DP240" s="3"/>
      <c r="DQ240" s="3"/>
      <c r="DR240" s="3"/>
      <c r="DS240" s="3"/>
      <c r="DT240" s="3"/>
      <c r="DU240" s="3"/>
      <c r="DV240" s="3"/>
      <c r="DW240" s="3"/>
      <c r="DX240" s="3"/>
      <c r="DY240" s="3"/>
      <c r="DZ240" s="3"/>
      <c r="EA240" s="3"/>
      <c r="EB240" s="3"/>
      <c r="EC240" s="3"/>
      <c r="ED240" s="3"/>
      <c r="EE240" s="3"/>
      <c r="EF240" s="3"/>
      <c r="EG240" s="3"/>
      <c r="EH240" s="3"/>
      <c r="EI240" s="3"/>
      <c r="EJ240" s="3"/>
      <c r="EK240" s="3"/>
      <c r="EL240" s="3"/>
      <c r="EM240" s="3"/>
      <c r="EN240" s="3"/>
      <c r="EO240" s="3"/>
      <c r="EP240" s="3"/>
      <c r="EQ240" s="3"/>
      <c r="ER240" s="3"/>
      <c r="ES240" s="3"/>
      <c r="ET240" s="3"/>
      <c r="EU240" s="3"/>
      <c r="EV240" s="3"/>
      <c r="EW240" s="3"/>
      <c r="EX240" s="3"/>
      <c r="EY240" s="3"/>
      <c r="EZ240" s="3"/>
      <c r="FA240" s="3"/>
      <c r="FB240" s="3"/>
      <c r="FC240" s="3"/>
      <c r="FD240" s="3"/>
      <c r="FE240" s="3"/>
      <c r="FF240" s="3"/>
      <c r="FG240" s="3"/>
      <c r="FH240" s="3"/>
      <c r="FI240" s="3"/>
      <c r="FJ240" s="3"/>
      <c r="FK240" s="3"/>
      <c r="FL240" s="3"/>
      <c r="FM240" s="3"/>
      <c r="FN240" s="3"/>
      <c r="FO240" s="3"/>
      <c r="FP240" s="3"/>
      <c r="FQ240" s="3"/>
      <c r="FR240" s="3"/>
      <c r="FS240" s="3"/>
      <c r="FT240" s="3"/>
      <c r="FU240" s="3"/>
      <c r="FV240" s="3"/>
      <c r="FW240" s="3"/>
      <c r="FX240" s="3"/>
      <c r="FY240" s="3"/>
      <c r="FZ240" s="3"/>
      <c r="GA240" s="3"/>
      <c r="GB240" s="3"/>
      <c r="GC240" s="3"/>
      <c r="GD240" s="3"/>
      <c r="GE240" s="3"/>
      <c r="GF240" s="3"/>
      <c r="GG240" s="3"/>
      <c r="GH240" s="3"/>
      <c r="GI240" s="3"/>
      <c r="GJ240" s="3"/>
      <c r="GK240" s="3"/>
      <c r="GL240" s="3"/>
      <c r="GM240" s="3"/>
      <c r="GN240" s="3"/>
      <c r="GO240" s="3"/>
      <c r="GP240" s="3"/>
      <c r="GQ240" s="3"/>
      <c r="GR240" s="3"/>
      <c r="GS240" s="3"/>
      <c r="GT240" s="3"/>
      <c r="GU240" s="3"/>
      <c r="GV240" s="3"/>
      <c r="GW240" s="3"/>
      <c r="GX240" s="3">
        <v>0</v>
      </c>
    </row>
    <row r="242" spans="1:28" ht="13" x14ac:dyDescent="0.3">
      <c r="A242" s="4">
        <v>50</v>
      </c>
      <c r="B242" s="4">
        <v>0</v>
      </c>
      <c r="C242" s="4">
        <v>0</v>
      </c>
      <c r="D242" s="4">
        <v>1</v>
      </c>
      <c r="E242" s="4">
        <v>201</v>
      </c>
      <c r="F242" s="4">
        <f>ROUND(Source!O240,O242)</f>
        <v>112070691.13</v>
      </c>
      <c r="G242" s="4" t="s">
        <v>94</v>
      </c>
      <c r="H242" s="4" t="s">
        <v>95</v>
      </c>
      <c r="I242" s="4"/>
      <c r="J242" s="4"/>
      <c r="K242" s="4">
        <v>201</v>
      </c>
      <c r="L242" s="4">
        <v>1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112070691.13</v>
      </c>
      <c r="X242" s="4">
        <v>1</v>
      </c>
      <c r="Y242" s="4">
        <v>112070691.13</v>
      </c>
      <c r="Z242" s="4"/>
      <c r="AA242" s="4"/>
      <c r="AB242" s="4"/>
    </row>
    <row r="243" spans="1:28" ht="13" x14ac:dyDescent="0.3">
      <c r="A243" s="4">
        <v>50</v>
      </c>
      <c r="B243" s="4">
        <v>0</v>
      </c>
      <c r="C243" s="4">
        <v>0</v>
      </c>
      <c r="D243" s="4">
        <v>1</v>
      </c>
      <c r="E243" s="4">
        <v>202</v>
      </c>
      <c r="F243" s="4">
        <f>ROUND(Source!P240,O243)</f>
        <v>11513138.970000001</v>
      </c>
      <c r="G243" s="4" t="s">
        <v>96</v>
      </c>
      <c r="H243" s="4" t="s">
        <v>97</v>
      </c>
      <c r="I243" s="4"/>
      <c r="J243" s="4"/>
      <c r="K243" s="4">
        <v>202</v>
      </c>
      <c r="L243" s="4">
        <v>2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11513138.970000001</v>
      </c>
      <c r="X243" s="4">
        <v>1</v>
      </c>
      <c r="Y243" s="4">
        <v>11513138.970000001</v>
      </c>
      <c r="Z243" s="4"/>
      <c r="AA243" s="4"/>
      <c r="AB243" s="4"/>
    </row>
    <row r="244" spans="1:28" ht="13" x14ac:dyDescent="0.3">
      <c r="A244" s="4">
        <v>50</v>
      </c>
      <c r="B244" s="4">
        <v>0</v>
      </c>
      <c r="C244" s="4">
        <v>0</v>
      </c>
      <c r="D244" s="4">
        <v>1</v>
      </c>
      <c r="E244" s="4">
        <v>222</v>
      </c>
      <c r="F244" s="4">
        <f>ROUND(Source!AO240,O244)</f>
        <v>0</v>
      </c>
      <c r="G244" s="4" t="s">
        <v>98</v>
      </c>
      <c r="H244" s="4" t="s">
        <v>99</v>
      </c>
      <c r="I244" s="4"/>
      <c r="J244" s="4"/>
      <c r="K244" s="4">
        <v>222</v>
      </c>
      <c r="L244" s="4">
        <v>3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ht="13" x14ac:dyDescent="0.3">
      <c r="A245" s="4">
        <v>50</v>
      </c>
      <c r="B245" s="4">
        <v>0</v>
      </c>
      <c r="C245" s="4">
        <v>0</v>
      </c>
      <c r="D245" s="4">
        <v>1</v>
      </c>
      <c r="E245" s="4">
        <v>225</v>
      </c>
      <c r="F245" s="4">
        <f>ROUND(Source!AV240,O245)</f>
        <v>11513138.970000001</v>
      </c>
      <c r="G245" s="4" t="s">
        <v>100</v>
      </c>
      <c r="H245" s="4" t="s">
        <v>101</v>
      </c>
      <c r="I245" s="4"/>
      <c r="J245" s="4"/>
      <c r="K245" s="4">
        <v>225</v>
      </c>
      <c r="L245" s="4">
        <v>4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11513138.970000001</v>
      </c>
      <c r="X245" s="4">
        <v>1</v>
      </c>
      <c r="Y245" s="4">
        <v>11513138.970000001</v>
      </c>
      <c r="Z245" s="4"/>
      <c r="AA245" s="4"/>
      <c r="AB245" s="4"/>
    </row>
    <row r="246" spans="1:28" ht="13" x14ac:dyDescent="0.3">
      <c r="A246" s="4">
        <v>50</v>
      </c>
      <c r="B246" s="4">
        <v>0</v>
      </c>
      <c r="C246" s="4">
        <v>0</v>
      </c>
      <c r="D246" s="4">
        <v>1</v>
      </c>
      <c r="E246" s="4">
        <v>226</v>
      </c>
      <c r="F246" s="4">
        <f>ROUND(Source!AW240,O246)</f>
        <v>11513138.970000001</v>
      </c>
      <c r="G246" s="4" t="s">
        <v>102</v>
      </c>
      <c r="H246" s="4" t="s">
        <v>103</v>
      </c>
      <c r="I246" s="4"/>
      <c r="J246" s="4"/>
      <c r="K246" s="4">
        <v>226</v>
      </c>
      <c r="L246" s="4">
        <v>5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11513138.970000001</v>
      </c>
      <c r="X246" s="4">
        <v>1</v>
      </c>
      <c r="Y246" s="4">
        <v>11513138.970000001</v>
      </c>
      <c r="Z246" s="4"/>
      <c r="AA246" s="4"/>
      <c r="AB246" s="4"/>
    </row>
    <row r="247" spans="1:28" ht="13" x14ac:dyDescent="0.3">
      <c r="A247" s="4">
        <v>50</v>
      </c>
      <c r="B247" s="4">
        <v>0</v>
      </c>
      <c r="C247" s="4">
        <v>0</v>
      </c>
      <c r="D247" s="4">
        <v>1</v>
      </c>
      <c r="E247" s="4">
        <v>227</v>
      </c>
      <c r="F247" s="4">
        <f>ROUND(Source!AX240,O247)</f>
        <v>0</v>
      </c>
      <c r="G247" s="4" t="s">
        <v>104</v>
      </c>
      <c r="H247" s="4" t="s">
        <v>105</v>
      </c>
      <c r="I247" s="4"/>
      <c r="J247" s="4"/>
      <c r="K247" s="4">
        <v>227</v>
      </c>
      <c r="L247" s="4">
        <v>6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ht="13" x14ac:dyDescent="0.3">
      <c r="A248" s="4">
        <v>50</v>
      </c>
      <c r="B248" s="4">
        <v>0</v>
      </c>
      <c r="C248" s="4">
        <v>0</v>
      </c>
      <c r="D248" s="4">
        <v>1</v>
      </c>
      <c r="E248" s="4">
        <v>228</v>
      </c>
      <c r="F248" s="4">
        <f>ROUND(Source!AY240,O248)</f>
        <v>11513138.970000001</v>
      </c>
      <c r="G248" s="4" t="s">
        <v>106</v>
      </c>
      <c r="H248" s="4" t="s">
        <v>107</v>
      </c>
      <c r="I248" s="4"/>
      <c r="J248" s="4"/>
      <c r="K248" s="4">
        <v>228</v>
      </c>
      <c r="L248" s="4">
        <v>7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11513138.970000001</v>
      </c>
      <c r="X248" s="4">
        <v>1</v>
      </c>
      <c r="Y248" s="4">
        <v>11513138.970000001</v>
      </c>
      <c r="Z248" s="4"/>
      <c r="AA248" s="4"/>
      <c r="AB248" s="4"/>
    </row>
    <row r="249" spans="1:28" ht="13" x14ac:dyDescent="0.3">
      <c r="A249" s="4">
        <v>50</v>
      </c>
      <c r="B249" s="4">
        <v>0</v>
      </c>
      <c r="C249" s="4">
        <v>0</v>
      </c>
      <c r="D249" s="4">
        <v>1</v>
      </c>
      <c r="E249" s="4">
        <v>216</v>
      </c>
      <c r="F249" s="4">
        <f>ROUND(Source!AP240,O249)</f>
        <v>0</v>
      </c>
      <c r="G249" s="4" t="s">
        <v>108</v>
      </c>
      <c r="H249" s="4" t="s">
        <v>109</v>
      </c>
      <c r="I249" s="4"/>
      <c r="J249" s="4"/>
      <c r="K249" s="4">
        <v>216</v>
      </c>
      <c r="L249" s="4">
        <v>8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ht="13" x14ac:dyDescent="0.3">
      <c r="A250" s="4">
        <v>50</v>
      </c>
      <c r="B250" s="4">
        <v>0</v>
      </c>
      <c r="C250" s="4">
        <v>0</v>
      </c>
      <c r="D250" s="4">
        <v>1</v>
      </c>
      <c r="E250" s="4">
        <v>223</v>
      </c>
      <c r="F250" s="4">
        <f>ROUND(Source!AQ240,O250)</f>
        <v>0</v>
      </c>
      <c r="G250" s="4" t="s">
        <v>110</v>
      </c>
      <c r="H250" s="4" t="s">
        <v>111</v>
      </c>
      <c r="I250" s="4"/>
      <c r="J250" s="4"/>
      <c r="K250" s="4">
        <v>223</v>
      </c>
      <c r="L250" s="4">
        <v>9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ht="13" x14ac:dyDescent="0.3">
      <c r="A251" s="4">
        <v>50</v>
      </c>
      <c r="B251" s="4">
        <v>0</v>
      </c>
      <c r="C251" s="4">
        <v>0</v>
      </c>
      <c r="D251" s="4">
        <v>1</v>
      </c>
      <c r="E251" s="4">
        <v>229</v>
      </c>
      <c r="F251" s="4">
        <f>ROUND(Source!AZ240,O251)</f>
        <v>0</v>
      </c>
      <c r="G251" s="4" t="s">
        <v>112</v>
      </c>
      <c r="H251" s="4" t="s">
        <v>113</v>
      </c>
      <c r="I251" s="4"/>
      <c r="J251" s="4"/>
      <c r="K251" s="4">
        <v>229</v>
      </c>
      <c r="L251" s="4">
        <v>10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ht="13" x14ac:dyDescent="0.3">
      <c r="A252" s="4">
        <v>50</v>
      </c>
      <c r="B252" s="4">
        <v>0</v>
      </c>
      <c r="C252" s="4">
        <v>0</v>
      </c>
      <c r="D252" s="4">
        <v>1</v>
      </c>
      <c r="E252" s="4">
        <v>203</v>
      </c>
      <c r="F252" s="4">
        <f>ROUND(Source!Q240,O252)</f>
        <v>62645857.93</v>
      </c>
      <c r="G252" s="4" t="s">
        <v>114</v>
      </c>
      <c r="H252" s="4" t="s">
        <v>115</v>
      </c>
      <c r="I252" s="4"/>
      <c r="J252" s="4"/>
      <c r="K252" s="4">
        <v>203</v>
      </c>
      <c r="L252" s="4">
        <v>11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62645857.93</v>
      </c>
      <c r="X252" s="4">
        <v>1</v>
      </c>
      <c r="Y252" s="4">
        <v>62645857.93</v>
      </c>
      <c r="Z252" s="4"/>
      <c r="AA252" s="4"/>
      <c r="AB252" s="4"/>
    </row>
    <row r="253" spans="1:28" ht="13" x14ac:dyDescent="0.3">
      <c r="A253" s="4">
        <v>50</v>
      </c>
      <c r="B253" s="4">
        <v>0</v>
      </c>
      <c r="C253" s="4">
        <v>0</v>
      </c>
      <c r="D253" s="4">
        <v>1</v>
      </c>
      <c r="E253" s="4">
        <v>231</v>
      </c>
      <c r="F253" s="4">
        <f>ROUND(Source!BB240,O253)</f>
        <v>0</v>
      </c>
      <c r="G253" s="4" t="s">
        <v>116</v>
      </c>
      <c r="H253" s="4" t="s">
        <v>117</v>
      </c>
      <c r="I253" s="4"/>
      <c r="J253" s="4"/>
      <c r="K253" s="4">
        <v>231</v>
      </c>
      <c r="L253" s="4">
        <v>12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ht="13" x14ac:dyDescent="0.3">
      <c r="A254" s="4">
        <v>50</v>
      </c>
      <c r="B254" s="4">
        <v>0</v>
      </c>
      <c r="C254" s="4">
        <v>0</v>
      </c>
      <c r="D254" s="4">
        <v>1</v>
      </c>
      <c r="E254" s="4">
        <v>204</v>
      </c>
      <c r="F254" s="4">
        <f>ROUND(Source!R240,O254)</f>
        <v>27648681.870000001</v>
      </c>
      <c r="G254" s="4" t="s">
        <v>118</v>
      </c>
      <c r="H254" s="4" t="s">
        <v>119</v>
      </c>
      <c r="I254" s="4"/>
      <c r="J254" s="4"/>
      <c r="K254" s="4">
        <v>204</v>
      </c>
      <c r="L254" s="4">
        <v>13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27648681.870000001</v>
      </c>
      <c r="X254" s="4">
        <v>1</v>
      </c>
      <c r="Y254" s="4">
        <v>27648681.870000001</v>
      </c>
      <c r="Z254" s="4"/>
      <c r="AA254" s="4"/>
      <c r="AB254" s="4"/>
    </row>
    <row r="255" spans="1:28" ht="13" x14ac:dyDescent="0.3">
      <c r="A255" s="4">
        <v>50</v>
      </c>
      <c r="B255" s="4">
        <v>0</v>
      </c>
      <c r="C255" s="4">
        <v>0</v>
      </c>
      <c r="D255" s="4">
        <v>1</v>
      </c>
      <c r="E255" s="4">
        <v>205</v>
      </c>
      <c r="F255" s="4">
        <f>ROUND(Source!S240,O255)</f>
        <v>37911694.229999997</v>
      </c>
      <c r="G255" s="4" t="s">
        <v>120</v>
      </c>
      <c r="H255" s="4" t="s">
        <v>121</v>
      </c>
      <c r="I255" s="4"/>
      <c r="J255" s="4"/>
      <c r="K255" s="4">
        <v>205</v>
      </c>
      <c r="L255" s="4">
        <v>14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37911694.229999997</v>
      </c>
      <c r="X255" s="4">
        <v>1</v>
      </c>
      <c r="Y255" s="4">
        <v>37911694.229999997</v>
      </c>
      <c r="Z255" s="4"/>
      <c r="AA255" s="4"/>
      <c r="AB255" s="4"/>
    </row>
    <row r="256" spans="1:28" ht="13" x14ac:dyDescent="0.3">
      <c r="A256" s="4">
        <v>50</v>
      </c>
      <c r="B256" s="4">
        <v>0</v>
      </c>
      <c r="C256" s="4">
        <v>0</v>
      </c>
      <c r="D256" s="4">
        <v>1</v>
      </c>
      <c r="E256" s="4">
        <v>232</v>
      </c>
      <c r="F256" s="4">
        <f>ROUND(Source!BC240,O256)</f>
        <v>0</v>
      </c>
      <c r="G256" s="4" t="s">
        <v>122</v>
      </c>
      <c r="H256" s="4" t="s">
        <v>123</v>
      </c>
      <c r="I256" s="4"/>
      <c r="J256" s="4"/>
      <c r="K256" s="4">
        <v>232</v>
      </c>
      <c r="L256" s="4">
        <v>15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ht="13" x14ac:dyDescent="0.3">
      <c r="A257" s="4">
        <v>50</v>
      </c>
      <c r="B257" s="4">
        <v>0</v>
      </c>
      <c r="C257" s="4">
        <v>0</v>
      </c>
      <c r="D257" s="4">
        <v>1</v>
      </c>
      <c r="E257" s="4">
        <v>214</v>
      </c>
      <c r="F257" s="4">
        <f>ROUND(Source!AS240,O257)</f>
        <v>0</v>
      </c>
      <c r="G257" s="4" t="s">
        <v>124</v>
      </c>
      <c r="H257" s="4" t="s">
        <v>125</v>
      </c>
      <c r="I257" s="4"/>
      <c r="J257" s="4"/>
      <c r="K257" s="4">
        <v>214</v>
      </c>
      <c r="L257" s="4">
        <v>16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0</v>
      </c>
      <c r="X257" s="4">
        <v>1</v>
      </c>
      <c r="Y257" s="4">
        <v>0</v>
      </c>
      <c r="Z257" s="4"/>
      <c r="AA257" s="4"/>
      <c r="AB257" s="4"/>
    </row>
    <row r="258" spans="1:28" ht="13" x14ac:dyDescent="0.3">
      <c r="A258" s="4">
        <v>50</v>
      </c>
      <c r="B258" s="4">
        <v>0</v>
      </c>
      <c r="C258" s="4">
        <v>0</v>
      </c>
      <c r="D258" s="4">
        <v>1</v>
      </c>
      <c r="E258" s="4">
        <v>215</v>
      </c>
      <c r="F258" s="4">
        <f>ROUND(Source!AT240,O258)</f>
        <v>0</v>
      </c>
      <c r="G258" s="4" t="s">
        <v>126</v>
      </c>
      <c r="H258" s="4" t="s">
        <v>127</v>
      </c>
      <c r="I258" s="4"/>
      <c r="J258" s="4"/>
      <c r="K258" s="4">
        <v>215</v>
      </c>
      <c r="L258" s="4">
        <v>17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ht="13" x14ac:dyDescent="0.3">
      <c r="A259" s="4">
        <v>50</v>
      </c>
      <c r="B259" s="4">
        <v>0</v>
      </c>
      <c r="C259" s="4">
        <v>0</v>
      </c>
      <c r="D259" s="4">
        <v>1</v>
      </c>
      <c r="E259" s="4">
        <v>217</v>
      </c>
      <c r="F259" s="4">
        <f>ROUND(Source!AU240,O259)</f>
        <v>172260623</v>
      </c>
      <c r="G259" s="4" t="s">
        <v>128</v>
      </c>
      <c r="H259" s="4" t="s">
        <v>129</v>
      </c>
      <c r="I259" s="4"/>
      <c r="J259" s="4"/>
      <c r="K259" s="4">
        <v>217</v>
      </c>
      <c r="L259" s="4">
        <v>18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172260623</v>
      </c>
      <c r="X259" s="4">
        <v>1</v>
      </c>
      <c r="Y259" s="4">
        <v>172260623</v>
      </c>
      <c r="Z259" s="4"/>
      <c r="AA259" s="4"/>
      <c r="AB259" s="4"/>
    </row>
    <row r="260" spans="1:28" ht="13" x14ac:dyDescent="0.3">
      <c r="A260" s="4">
        <v>50</v>
      </c>
      <c r="B260" s="4">
        <v>0</v>
      </c>
      <c r="C260" s="4">
        <v>0</v>
      </c>
      <c r="D260" s="4">
        <v>1</v>
      </c>
      <c r="E260" s="4">
        <v>230</v>
      </c>
      <c r="F260" s="4">
        <f>ROUND(Source!BA240,O260)</f>
        <v>0</v>
      </c>
      <c r="G260" s="4" t="s">
        <v>130</v>
      </c>
      <c r="H260" s="4" t="s">
        <v>131</v>
      </c>
      <c r="I260" s="4"/>
      <c r="J260" s="4"/>
      <c r="K260" s="4">
        <v>230</v>
      </c>
      <c r="L260" s="4">
        <v>19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ht="13" x14ac:dyDescent="0.3">
      <c r="A261" s="4">
        <v>50</v>
      </c>
      <c r="B261" s="4">
        <v>0</v>
      </c>
      <c r="C261" s="4">
        <v>0</v>
      </c>
      <c r="D261" s="4">
        <v>1</v>
      </c>
      <c r="E261" s="4">
        <v>206</v>
      </c>
      <c r="F261" s="4">
        <f>ROUND(Source!T240,O261)</f>
        <v>0</v>
      </c>
      <c r="G261" s="4" t="s">
        <v>132</v>
      </c>
      <c r="H261" s="4" t="s">
        <v>133</v>
      </c>
      <c r="I261" s="4"/>
      <c r="J261" s="4"/>
      <c r="K261" s="4">
        <v>206</v>
      </c>
      <c r="L261" s="4">
        <v>20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ht="13" x14ac:dyDescent="0.3">
      <c r="A262" s="4">
        <v>50</v>
      </c>
      <c r="B262" s="4">
        <v>0</v>
      </c>
      <c r="C262" s="4">
        <v>0</v>
      </c>
      <c r="D262" s="4">
        <v>1</v>
      </c>
      <c r="E262" s="4">
        <v>207</v>
      </c>
      <c r="F262" s="4">
        <f>Source!U240</f>
        <v>82232.137350000005</v>
      </c>
      <c r="G262" s="4" t="s">
        <v>134</v>
      </c>
      <c r="H262" s="4" t="s">
        <v>135</v>
      </c>
      <c r="I262" s="4"/>
      <c r="J262" s="4"/>
      <c r="K262" s="4">
        <v>207</v>
      </c>
      <c r="L262" s="4">
        <v>21</v>
      </c>
      <c r="M262" s="4">
        <v>3</v>
      </c>
      <c r="N262" s="4" t="s">
        <v>3</v>
      </c>
      <c r="O262" s="4">
        <v>-1</v>
      </c>
      <c r="P262" s="4"/>
      <c r="Q262" s="4"/>
      <c r="R262" s="4"/>
      <c r="S262" s="4"/>
      <c r="T262" s="4"/>
      <c r="U262" s="4"/>
      <c r="V262" s="4"/>
      <c r="W262" s="4">
        <v>82232.13734999999</v>
      </c>
      <c r="X262" s="4">
        <v>1</v>
      </c>
      <c r="Y262" s="4">
        <v>82232.13734999999</v>
      </c>
      <c r="Z262" s="4"/>
      <c r="AA262" s="4"/>
      <c r="AB262" s="4"/>
    </row>
    <row r="263" spans="1:28" ht="13" x14ac:dyDescent="0.3">
      <c r="A263" s="4">
        <v>50</v>
      </c>
      <c r="B263" s="4">
        <v>0</v>
      </c>
      <c r="C263" s="4">
        <v>0</v>
      </c>
      <c r="D263" s="4">
        <v>1</v>
      </c>
      <c r="E263" s="4">
        <v>208</v>
      </c>
      <c r="F263" s="4">
        <f>Source!V240</f>
        <v>0</v>
      </c>
      <c r="G263" s="4" t="s">
        <v>136</v>
      </c>
      <c r="H263" s="4" t="s">
        <v>137</v>
      </c>
      <c r="I263" s="4"/>
      <c r="J263" s="4"/>
      <c r="K263" s="4">
        <v>208</v>
      </c>
      <c r="L263" s="4">
        <v>22</v>
      </c>
      <c r="M263" s="4">
        <v>3</v>
      </c>
      <c r="N263" s="4" t="s">
        <v>3</v>
      </c>
      <c r="O263" s="4">
        <v>-1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ht="13" x14ac:dyDescent="0.3">
      <c r="A264" s="4">
        <v>50</v>
      </c>
      <c r="B264" s="4">
        <v>0</v>
      </c>
      <c r="C264" s="4">
        <v>0</v>
      </c>
      <c r="D264" s="4">
        <v>1</v>
      </c>
      <c r="E264" s="4">
        <v>209</v>
      </c>
      <c r="F264" s="4">
        <f>ROUND(Source!W240,O264)</f>
        <v>0</v>
      </c>
      <c r="G264" s="4" t="s">
        <v>138</v>
      </c>
      <c r="H264" s="4" t="s">
        <v>139</v>
      </c>
      <c r="I264" s="4"/>
      <c r="J264" s="4"/>
      <c r="K264" s="4">
        <v>209</v>
      </c>
      <c r="L264" s="4">
        <v>23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8" ht="13" x14ac:dyDescent="0.3">
      <c r="A265" s="4">
        <v>50</v>
      </c>
      <c r="B265" s="4">
        <v>0</v>
      </c>
      <c r="C265" s="4">
        <v>0</v>
      </c>
      <c r="D265" s="4">
        <v>1</v>
      </c>
      <c r="E265" s="4">
        <v>233</v>
      </c>
      <c r="F265" s="4">
        <f>ROUND(Source!BD240,O265)</f>
        <v>0</v>
      </c>
      <c r="G265" s="4" t="s">
        <v>140</v>
      </c>
      <c r="H265" s="4" t="s">
        <v>141</v>
      </c>
      <c r="I265" s="4"/>
      <c r="J265" s="4"/>
      <c r="K265" s="4">
        <v>233</v>
      </c>
      <c r="L265" s="4">
        <v>24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ht="13" x14ac:dyDescent="0.3">
      <c r="A266" s="4">
        <v>50</v>
      </c>
      <c r="B266" s="4">
        <v>0</v>
      </c>
      <c r="C266" s="4">
        <v>0</v>
      </c>
      <c r="D266" s="4">
        <v>1</v>
      </c>
      <c r="E266" s="4">
        <v>210</v>
      </c>
      <c r="F266" s="4">
        <f>ROUND(Source!X240,O266)</f>
        <v>26538186</v>
      </c>
      <c r="G266" s="4" t="s">
        <v>142</v>
      </c>
      <c r="H266" s="4" t="s">
        <v>143</v>
      </c>
      <c r="I266" s="4"/>
      <c r="J266" s="4"/>
      <c r="K266" s="4">
        <v>210</v>
      </c>
      <c r="L266" s="4">
        <v>25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26538186</v>
      </c>
      <c r="X266" s="4">
        <v>1</v>
      </c>
      <c r="Y266" s="4">
        <v>26538186</v>
      </c>
      <c r="Z266" s="4"/>
      <c r="AA266" s="4"/>
      <c r="AB266" s="4"/>
    </row>
    <row r="267" spans="1:28" ht="13" x14ac:dyDescent="0.3">
      <c r="A267" s="4">
        <v>50</v>
      </c>
      <c r="B267" s="4">
        <v>0</v>
      </c>
      <c r="C267" s="4">
        <v>0</v>
      </c>
      <c r="D267" s="4">
        <v>1</v>
      </c>
      <c r="E267" s="4">
        <v>211</v>
      </c>
      <c r="F267" s="4">
        <f>ROUND(Source!Y240,O267)</f>
        <v>3791169.45</v>
      </c>
      <c r="G267" s="4" t="s">
        <v>144</v>
      </c>
      <c r="H267" s="4" t="s">
        <v>145</v>
      </c>
      <c r="I267" s="4"/>
      <c r="J267" s="4"/>
      <c r="K267" s="4">
        <v>211</v>
      </c>
      <c r="L267" s="4">
        <v>26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3791169.45</v>
      </c>
      <c r="X267" s="4">
        <v>1</v>
      </c>
      <c r="Y267" s="4">
        <v>3791169.45</v>
      </c>
      <c r="Z267" s="4"/>
      <c r="AA267" s="4"/>
      <c r="AB267" s="4"/>
    </row>
    <row r="268" spans="1:28" ht="13" x14ac:dyDescent="0.3">
      <c r="A268" s="4">
        <v>50</v>
      </c>
      <c r="B268" s="4">
        <v>0</v>
      </c>
      <c r="C268" s="4">
        <v>0</v>
      </c>
      <c r="D268" s="4">
        <v>1</v>
      </c>
      <c r="E268" s="4">
        <v>224</v>
      </c>
      <c r="F268" s="4">
        <f>ROUND(Source!AR240,O268)</f>
        <v>172260623</v>
      </c>
      <c r="G268" s="4" t="s">
        <v>146</v>
      </c>
      <c r="H268" s="4" t="s">
        <v>147</v>
      </c>
      <c r="I268" s="4"/>
      <c r="J268" s="4"/>
      <c r="K268" s="4">
        <v>224</v>
      </c>
      <c r="L268" s="4">
        <v>27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172260623</v>
      </c>
      <c r="X268" s="4">
        <v>1</v>
      </c>
      <c r="Y268" s="4">
        <v>172260623</v>
      </c>
      <c r="Z268" s="4"/>
      <c r="AA268" s="4"/>
      <c r="AB268" s="4"/>
    </row>
    <row r="269" spans="1:28" ht="13" x14ac:dyDescent="0.3">
      <c r="A269" s="4">
        <v>50</v>
      </c>
      <c r="B269" s="4">
        <v>1</v>
      </c>
      <c r="C269" s="4">
        <v>0</v>
      </c>
      <c r="D269" s="4">
        <v>2</v>
      </c>
      <c r="E269" s="4">
        <v>0</v>
      </c>
      <c r="F269" s="4">
        <f>ROUND(F268,O269)</f>
        <v>172260623</v>
      </c>
      <c r="G269" s="4" t="s">
        <v>250</v>
      </c>
      <c r="H269" s="4" t="s">
        <v>251</v>
      </c>
      <c r="I269" s="4"/>
      <c r="J269" s="4"/>
      <c r="K269" s="4">
        <v>212</v>
      </c>
      <c r="L269" s="4">
        <v>28</v>
      </c>
      <c r="M269" s="4">
        <v>0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172260623</v>
      </c>
      <c r="X269" s="4">
        <v>1</v>
      </c>
      <c r="Y269" s="4">
        <v>172260623</v>
      </c>
      <c r="Z269" s="4"/>
      <c r="AA269" s="4"/>
      <c r="AB269" s="4"/>
    </row>
    <row r="270" spans="1:28" ht="13" x14ac:dyDescent="0.3">
      <c r="A270" s="4">
        <v>50</v>
      </c>
      <c r="B270" s="4">
        <v>1</v>
      </c>
      <c r="C270" s="4">
        <v>0</v>
      </c>
      <c r="D270" s="4">
        <v>2</v>
      </c>
      <c r="E270" s="4">
        <v>0</v>
      </c>
      <c r="F270" s="4">
        <f>ROUND(F269*0.22,O270)</f>
        <v>37897337.060000002</v>
      </c>
      <c r="G270" s="4" t="s">
        <v>252</v>
      </c>
      <c r="H270" s="4" t="s">
        <v>370</v>
      </c>
      <c r="I270" s="4"/>
      <c r="J270" s="4"/>
      <c r="K270" s="4">
        <v>212</v>
      </c>
      <c r="L270" s="4">
        <v>29</v>
      </c>
      <c r="M270" s="4">
        <v>0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34452124.600000001</v>
      </c>
      <c r="X270" s="4">
        <v>1</v>
      </c>
      <c r="Y270" s="4">
        <v>34452124.600000001</v>
      </c>
      <c r="Z270" s="4"/>
      <c r="AA270" s="4"/>
      <c r="AB270" s="4"/>
    </row>
    <row r="271" spans="1:28" ht="13" x14ac:dyDescent="0.3">
      <c r="A271" s="4">
        <v>50</v>
      </c>
      <c r="B271" s="4">
        <v>1</v>
      </c>
      <c r="C271" s="4">
        <v>0</v>
      </c>
      <c r="D271" s="4">
        <v>2</v>
      </c>
      <c r="E271" s="4">
        <v>213</v>
      </c>
      <c r="F271" s="4">
        <f>ROUND(F269+F270,O271)</f>
        <v>210157960.06</v>
      </c>
      <c r="G271" s="4" t="s">
        <v>253</v>
      </c>
      <c r="H271" s="4" t="s">
        <v>146</v>
      </c>
      <c r="I271" s="4"/>
      <c r="J271" s="4"/>
      <c r="K271" s="4">
        <v>212</v>
      </c>
      <c r="L271" s="4">
        <v>30</v>
      </c>
      <c r="M271" s="4">
        <v>0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206712747.59999999</v>
      </c>
      <c r="X271" s="4">
        <v>1</v>
      </c>
      <c r="Y271" s="4">
        <v>206712747.59999999</v>
      </c>
      <c r="Z271" s="4"/>
      <c r="AA271" s="4"/>
      <c r="AB271" s="4"/>
    </row>
    <row r="274" spans="1:15" x14ac:dyDescent="0.25">
      <c r="A274">
        <v>-1</v>
      </c>
    </row>
    <row r="276" spans="1:15" ht="13" x14ac:dyDescent="0.3">
      <c r="A276" s="3">
        <v>75</v>
      </c>
      <c r="B276" s="3" t="s">
        <v>254</v>
      </c>
      <c r="C276" s="3">
        <v>2025</v>
      </c>
      <c r="D276" s="3">
        <v>4</v>
      </c>
      <c r="E276" s="3">
        <v>0</v>
      </c>
      <c r="F276" s="3">
        <v>0</v>
      </c>
      <c r="G276" s="3">
        <v>0</v>
      </c>
      <c r="H276" s="3">
        <v>1</v>
      </c>
      <c r="I276" s="3">
        <v>0</v>
      </c>
      <c r="J276" s="3">
        <v>1</v>
      </c>
      <c r="K276" s="3">
        <v>78</v>
      </c>
      <c r="L276" s="3">
        <v>30</v>
      </c>
      <c r="M276" s="3">
        <v>0</v>
      </c>
      <c r="N276" s="3">
        <v>80891185</v>
      </c>
      <c r="O276" s="3">
        <v>1</v>
      </c>
    </row>
    <row r="280" spans="1:15" x14ac:dyDescent="0.25">
      <c r="A280">
        <v>65</v>
      </c>
      <c r="C280">
        <v>1</v>
      </c>
      <c r="D280">
        <v>0</v>
      </c>
      <c r="E28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09AC6-5176-46DE-8AE8-FE6CD7D97947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255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80891185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13</v>
      </c>
      <c r="E16" s="6">
        <f>ROUND((Source!F225)/1000,2)</f>
        <v>0</v>
      </c>
      <c r="F16" s="6">
        <f>ROUND((Source!F226)/1000,2)</f>
        <v>0</v>
      </c>
      <c r="G16" s="6">
        <f>ROUND((Source!F217)/1000,2)</f>
        <v>0</v>
      </c>
      <c r="H16" s="6">
        <f>ROUND((Source!F227)/1000+(Source!F228)/1000,2)</f>
        <v>172260.62</v>
      </c>
      <c r="I16" s="6">
        <f>E16+F16+G16+H16</f>
        <v>172260.62</v>
      </c>
      <c r="J16" s="6">
        <f>ROUND((Source!F223+Source!F222)/1000,2)</f>
        <v>65560.38</v>
      </c>
      <c r="K16" s="6">
        <v>123583.83</v>
      </c>
      <c r="L16" s="6">
        <v>0</v>
      </c>
      <c r="M16" s="6">
        <v>0</v>
      </c>
      <c r="N16" s="6">
        <f>I16+L16+M16</f>
        <v>172260.62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112070691.13</v>
      </c>
      <c r="AU16" s="6">
        <v>11513138.970000001</v>
      </c>
      <c r="AV16" s="6">
        <v>0</v>
      </c>
      <c r="AW16" s="6">
        <v>0</v>
      </c>
      <c r="AX16" s="6">
        <v>0</v>
      </c>
      <c r="AY16" s="6">
        <v>62645857.93</v>
      </c>
      <c r="AZ16" s="6">
        <v>27648681.870000001</v>
      </c>
      <c r="BA16" s="6">
        <v>37911694.229999997</v>
      </c>
      <c r="BB16" s="6">
        <v>0</v>
      </c>
      <c r="BC16" s="6">
        <v>0</v>
      </c>
      <c r="BD16" s="6">
        <v>172260623</v>
      </c>
      <c r="BE16" s="6">
        <v>0</v>
      </c>
      <c r="BF16" s="6">
        <v>82232.13734999999</v>
      </c>
      <c r="BG16" s="6">
        <v>0</v>
      </c>
      <c r="BH16" s="6">
        <v>0</v>
      </c>
      <c r="BI16" s="6">
        <v>26538186</v>
      </c>
      <c r="BJ16" s="6">
        <v>3791169.45</v>
      </c>
      <c r="BK16" s="6">
        <v>172260623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172260.62</v>
      </c>
      <c r="I18">
        <v>172260.62</v>
      </c>
      <c r="J18">
        <v>65560.38</v>
      </c>
      <c r="K18">
        <v>123583.83</v>
      </c>
      <c r="L18">
        <v>0</v>
      </c>
      <c r="M18">
        <v>0</v>
      </c>
      <c r="N18">
        <v>172260.62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112070691.13</v>
      </c>
      <c r="G20" s="4" t="s">
        <v>94</v>
      </c>
      <c r="H20" s="4" t="s">
        <v>95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11513138.970000001</v>
      </c>
      <c r="G21" s="4" t="s">
        <v>96</v>
      </c>
      <c r="H21" s="4" t="s">
        <v>97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98</v>
      </c>
      <c r="H22" s="4" t="s">
        <v>99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11513138.970000001</v>
      </c>
      <c r="G23" s="4" t="s">
        <v>100</v>
      </c>
      <c r="H23" s="4" t="s">
        <v>101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11513138.970000001</v>
      </c>
      <c r="G24" s="4" t="s">
        <v>102</v>
      </c>
      <c r="H24" s="4" t="s">
        <v>103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104</v>
      </c>
      <c r="H25" s="4" t="s">
        <v>105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11513138.970000001</v>
      </c>
      <c r="G26" s="4" t="s">
        <v>106</v>
      </c>
      <c r="H26" s="4" t="s">
        <v>107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108</v>
      </c>
      <c r="H27" s="4" t="s">
        <v>109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110</v>
      </c>
      <c r="H28" s="4" t="s">
        <v>111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112</v>
      </c>
      <c r="H29" s="4" t="s">
        <v>113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62645857.93</v>
      </c>
      <c r="G30" s="4" t="s">
        <v>114</v>
      </c>
      <c r="H30" s="4" t="s">
        <v>115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116</v>
      </c>
      <c r="H31" s="4" t="s">
        <v>117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27648681.870000001</v>
      </c>
      <c r="G32" s="4" t="s">
        <v>118</v>
      </c>
      <c r="H32" s="4" t="s">
        <v>119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37911694.229999997</v>
      </c>
      <c r="G33" s="4" t="s">
        <v>120</v>
      </c>
      <c r="H33" s="4" t="s">
        <v>121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122</v>
      </c>
      <c r="H34" s="4" t="s">
        <v>123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124</v>
      </c>
      <c r="H35" s="4" t="s">
        <v>125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126</v>
      </c>
      <c r="H36" s="4" t="s">
        <v>127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172260623</v>
      </c>
      <c r="G37" s="4" t="s">
        <v>128</v>
      </c>
      <c r="H37" s="4" t="s">
        <v>129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130</v>
      </c>
      <c r="H38" s="4" t="s">
        <v>131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132</v>
      </c>
      <c r="H39" s="4" t="s">
        <v>133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82232.13734999999</v>
      </c>
      <c r="G40" s="4" t="s">
        <v>134</v>
      </c>
      <c r="H40" s="4" t="s">
        <v>135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136</v>
      </c>
      <c r="H41" s="4" t="s">
        <v>137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138</v>
      </c>
      <c r="H42" s="4" t="s">
        <v>139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140</v>
      </c>
      <c r="H43" s="4" t="s">
        <v>141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26538186</v>
      </c>
      <c r="G44" s="4" t="s">
        <v>142</v>
      </c>
      <c r="H44" s="4" t="s">
        <v>143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3791169.45</v>
      </c>
      <c r="G45" s="4" t="s">
        <v>144</v>
      </c>
      <c r="H45" s="4" t="s">
        <v>145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172260623</v>
      </c>
      <c r="G46" s="4" t="s">
        <v>146</v>
      </c>
      <c r="H46" s="4" t="s">
        <v>147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172260623</v>
      </c>
      <c r="G47" s="4" t="s">
        <v>250</v>
      </c>
      <c r="H47" s="4" t="s">
        <v>251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34452124.600000001</v>
      </c>
      <c r="G48" s="4" t="s">
        <v>252</v>
      </c>
      <c r="H48" s="4" t="s">
        <v>248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206712747.59999999</v>
      </c>
      <c r="G49" s="4" t="s">
        <v>253</v>
      </c>
      <c r="H49" s="4" t="s">
        <v>146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5">
      <c r="A51">
        <v>-1</v>
      </c>
    </row>
    <row r="54" spans="1:16" ht="13" x14ac:dyDescent="0.3">
      <c r="A54" s="3">
        <v>75</v>
      </c>
      <c r="B54" s="3" t="s">
        <v>254</v>
      </c>
      <c r="C54" s="3">
        <v>2025</v>
      </c>
      <c r="D54" s="3">
        <v>4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80891185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18EC7-3D6E-485B-BFA2-C78B3F853753}">
  <dimension ref="A1:DO7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80891185</v>
      </c>
      <c r="C1">
        <v>80891372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256</v>
      </c>
      <c r="J1" t="s">
        <v>257</v>
      </c>
      <c r="K1" t="s">
        <v>258</v>
      </c>
      <c r="L1">
        <v>1368</v>
      </c>
      <c r="N1">
        <v>1011</v>
      </c>
      <c r="O1" t="s">
        <v>259</v>
      </c>
      <c r="P1" t="s">
        <v>259</v>
      </c>
      <c r="Q1">
        <v>1</v>
      </c>
      <c r="W1">
        <v>0</v>
      </c>
      <c r="X1">
        <v>645985080</v>
      </c>
      <c r="Y1">
        <f>(AT1*55)</f>
        <v>27.5</v>
      </c>
      <c r="AA1">
        <v>0</v>
      </c>
      <c r="AB1">
        <v>2515.98</v>
      </c>
      <c r="AC1">
        <v>872.98</v>
      </c>
      <c r="AD1">
        <v>0</v>
      </c>
      <c r="AE1">
        <v>0</v>
      </c>
      <c r="AF1">
        <v>2515.98</v>
      </c>
      <c r="AG1">
        <v>872.98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</v>
      </c>
      <c r="AU1" t="s">
        <v>22</v>
      </c>
      <c r="AV1">
        <v>0</v>
      </c>
      <c r="AW1">
        <v>2</v>
      </c>
      <c r="AX1">
        <v>80891565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ROUND(Y1*Source!I32*DO1,9)</f>
        <v>0</v>
      </c>
      <c r="CX1">
        <f>ROUND(Y1*Source!I32,9)</f>
        <v>3492.0929999999998</v>
      </c>
      <c r="CY1">
        <f>AB1</f>
        <v>2515.98</v>
      </c>
      <c r="CZ1">
        <f>AF1</f>
        <v>2515.98</v>
      </c>
      <c r="DA1">
        <f>AJ1</f>
        <v>1</v>
      </c>
      <c r="DB1">
        <f>ROUND((ROUND(AT1*CZ1,2)*55),6)</f>
        <v>69189.45</v>
      </c>
      <c r="DC1">
        <f>ROUND((ROUND(AT1*AG1,2)*55),6)</f>
        <v>24006.95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8786036.1500000004</v>
      </c>
      <c r="DH1">
        <f t="shared" ref="DH1:DH32" si="2">ROUND(ROUND(AG1,2)*CX1,2)</f>
        <v>3048527.35</v>
      </c>
      <c r="DI1">
        <f t="shared" ref="DI1:DI32" si="3">ROUND(ROUND(AH1,2)*CX1,2)</f>
        <v>0</v>
      </c>
      <c r="DJ1">
        <f>DG1</f>
        <v>8786036.1500000004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ROW(Source!A33)</f>
        <v>33</v>
      </c>
      <c r="B2">
        <v>80891185</v>
      </c>
      <c r="C2">
        <v>80891373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260</v>
      </c>
      <c r="J2" t="s">
        <v>3</v>
      </c>
      <c r="K2" t="s">
        <v>261</v>
      </c>
      <c r="L2">
        <v>1191</v>
      </c>
      <c r="N2">
        <v>1013</v>
      </c>
      <c r="O2" t="s">
        <v>262</v>
      </c>
      <c r="P2" t="s">
        <v>262</v>
      </c>
      <c r="Q2">
        <v>1</v>
      </c>
      <c r="W2">
        <v>0</v>
      </c>
      <c r="X2">
        <v>476480486</v>
      </c>
      <c r="Y2">
        <f>(AT2*55)</f>
        <v>35.75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0.65</v>
      </c>
      <c r="AU2" t="s">
        <v>22</v>
      </c>
      <c r="AV2">
        <v>1</v>
      </c>
      <c r="AW2">
        <v>2</v>
      </c>
      <c r="AX2">
        <v>80891566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ROUND(AT2*Source!I33*AH2*AL2,2)</f>
        <v>0</v>
      </c>
      <c r="CV2">
        <f>ROUND(Y2*Source!I33,9)</f>
        <v>11349.302250000001</v>
      </c>
      <c r="CW2">
        <v>0</v>
      </c>
      <c r="CX2">
        <f>ROUND(Y2*Source!I33,9)</f>
        <v>11349.302250000001</v>
      </c>
      <c r="CY2">
        <f>AD2</f>
        <v>0</v>
      </c>
      <c r="CZ2">
        <f>AH2</f>
        <v>0</v>
      </c>
      <c r="DA2">
        <f>AL2</f>
        <v>1</v>
      </c>
      <c r="DB2">
        <f>ROUND((ROUND(AT2*CZ2,2)*55),6)</f>
        <v>0</v>
      </c>
      <c r="DC2">
        <f>ROUND((ROUND(AT2*AG2,2)*55),6)</f>
        <v>0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ROW(Source!A34)</f>
        <v>34</v>
      </c>
      <c r="B3">
        <v>80891185</v>
      </c>
      <c r="C3">
        <v>80891374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263</v>
      </c>
      <c r="J3" t="s">
        <v>264</v>
      </c>
      <c r="K3" t="s">
        <v>265</v>
      </c>
      <c r="L3">
        <v>1368</v>
      </c>
      <c r="N3">
        <v>1011</v>
      </c>
      <c r="O3" t="s">
        <v>259</v>
      </c>
      <c r="P3" t="s">
        <v>259</v>
      </c>
      <c r="Q3">
        <v>1</v>
      </c>
      <c r="W3">
        <v>0</v>
      </c>
      <c r="X3">
        <v>-566548736</v>
      </c>
      <c r="Y3">
        <f>(AT3*111)</f>
        <v>28.86</v>
      </c>
      <c r="AA3">
        <v>0</v>
      </c>
      <c r="AB3">
        <v>1783.28</v>
      </c>
      <c r="AC3">
        <v>842.87</v>
      </c>
      <c r="AD3">
        <v>0</v>
      </c>
      <c r="AE3">
        <v>0</v>
      </c>
      <c r="AF3">
        <v>1783.28</v>
      </c>
      <c r="AG3">
        <v>842.87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0.26</v>
      </c>
      <c r="AU3" t="s">
        <v>35</v>
      </c>
      <c r="AV3">
        <v>0</v>
      </c>
      <c r="AW3">
        <v>2</v>
      </c>
      <c r="AX3">
        <v>80891567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3664.792872</v>
      </c>
      <c r="CY3">
        <f>AB3</f>
        <v>1783.28</v>
      </c>
      <c r="CZ3">
        <f>AF3</f>
        <v>1783.28</v>
      </c>
      <c r="DA3">
        <f>AJ3</f>
        <v>1</v>
      </c>
      <c r="DB3">
        <f>ROUND((ROUND(AT3*CZ3,2)*111),6)</f>
        <v>51465.15</v>
      </c>
      <c r="DC3">
        <f>ROUND((ROUND(AT3*AG3,2)*111),6)</f>
        <v>24325.65</v>
      </c>
      <c r="DD3" t="s">
        <v>3</v>
      </c>
      <c r="DE3" t="s">
        <v>3</v>
      </c>
      <c r="DF3">
        <f t="shared" si="0"/>
        <v>0</v>
      </c>
      <c r="DG3">
        <f t="shared" si="1"/>
        <v>6535351.8300000001</v>
      </c>
      <c r="DH3">
        <f t="shared" si="2"/>
        <v>3088943.97</v>
      </c>
      <c r="DI3">
        <f t="shared" si="3"/>
        <v>0</v>
      </c>
      <c r="DJ3">
        <f>DG3</f>
        <v>6535351.8300000001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ROW(Source!A34)</f>
        <v>34</v>
      </c>
      <c r="B4">
        <v>80891185</v>
      </c>
      <c r="C4">
        <v>80891374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W4">
        <v>1</v>
      </c>
      <c r="X4">
        <v>2112060389</v>
      </c>
      <c r="Y4">
        <f>(AT4*111)</f>
        <v>-22.200000000000003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-0.2</v>
      </c>
      <c r="AU4" t="s">
        <v>35</v>
      </c>
      <c r="AV4">
        <v>0</v>
      </c>
      <c r="AW4">
        <v>2</v>
      </c>
      <c r="AX4">
        <v>80891568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ROUND(Y4*Source!I34,9)</f>
        <v>-2819.0714400000002</v>
      </c>
      <c r="CY4">
        <f>AA4</f>
        <v>54.81</v>
      </c>
      <c r="CZ4">
        <f>AE4</f>
        <v>54.81</v>
      </c>
      <c r="DA4">
        <f>AI4</f>
        <v>1</v>
      </c>
      <c r="DB4">
        <f>ROUND((ROUND(AT4*CZ4,2)*111),6)</f>
        <v>-1216.56</v>
      </c>
      <c r="DC4">
        <f>ROUND((ROUND(AT4*AG4,2)*111),6)</f>
        <v>0</v>
      </c>
      <c r="DD4" t="s">
        <v>3</v>
      </c>
      <c r="DE4" t="s">
        <v>3</v>
      </c>
      <c r="DF4">
        <f t="shared" si="0"/>
        <v>-154513.31</v>
      </c>
      <c r="DG4">
        <f t="shared" si="1"/>
        <v>0</v>
      </c>
      <c r="DH4">
        <f t="shared" si="2"/>
        <v>0</v>
      </c>
      <c r="DI4">
        <f t="shared" si="3"/>
        <v>0</v>
      </c>
      <c r="DJ4">
        <f>DF4</f>
        <v>-154513.31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ROW(Source!A36)</f>
        <v>36</v>
      </c>
      <c r="B5">
        <v>80891185</v>
      </c>
      <c r="C5">
        <v>80891687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260</v>
      </c>
      <c r="J5" t="s">
        <v>3</v>
      </c>
      <c r="K5" t="s">
        <v>261</v>
      </c>
      <c r="L5">
        <v>1191</v>
      </c>
      <c r="N5">
        <v>1013</v>
      </c>
      <c r="O5" t="s">
        <v>262</v>
      </c>
      <c r="P5" t="s">
        <v>262</v>
      </c>
      <c r="Q5">
        <v>1</v>
      </c>
      <c r="W5">
        <v>0</v>
      </c>
      <c r="X5">
        <v>476480486</v>
      </c>
      <c r="Y5">
        <f>(AT5*111)</f>
        <v>15.540000000000001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35</v>
      </c>
      <c r="AV5">
        <v>1</v>
      </c>
      <c r="AW5">
        <v>2</v>
      </c>
      <c r="AX5">
        <v>80891688</v>
      </c>
      <c r="AY5">
        <v>1</v>
      </c>
      <c r="AZ5">
        <v>2048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ROUND(AT5*Source!I36*AH5*AL5,2)</f>
        <v>0</v>
      </c>
      <c r="CV5">
        <f>ROUND(Y5*Source!I36,9)</f>
        <v>4933.3750200000004</v>
      </c>
      <c r="CW5">
        <v>0</v>
      </c>
      <c r="CX5">
        <f>ROUND(Y5*Source!I36,9)</f>
        <v>4933.3750200000004</v>
      </c>
      <c r="CY5">
        <f>AD5</f>
        <v>0</v>
      </c>
      <c r="CZ5">
        <f>AH5</f>
        <v>0</v>
      </c>
      <c r="DA5">
        <f>AL5</f>
        <v>1</v>
      </c>
      <c r="DB5">
        <f>ROUND((ROUND(AT5*CZ5,2)*111),6)</f>
        <v>0</v>
      </c>
      <c r="DC5">
        <f>ROUND((ROUND(AT5*AG5,2)*111),6)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ROW(Source!A37)</f>
        <v>37</v>
      </c>
      <c r="B6">
        <v>80891185</v>
      </c>
      <c r="C6">
        <v>80891672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260</v>
      </c>
      <c r="J6" t="s">
        <v>3</v>
      </c>
      <c r="K6" t="s">
        <v>261</v>
      </c>
      <c r="L6">
        <v>1191</v>
      </c>
      <c r="N6">
        <v>1013</v>
      </c>
      <c r="O6" t="s">
        <v>262</v>
      </c>
      <c r="P6" t="s">
        <v>262</v>
      </c>
      <c r="Q6">
        <v>1</v>
      </c>
      <c r="W6">
        <v>0</v>
      </c>
      <c r="X6">
        <v>476480486</v>
      </c>
      <c r="Y6">
        <f>(AT6*50)</f>
        <v>1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0.02</v>
      </c>
      <c r="AU6" t="s">
        <v>49</v>
      </c>
      <c r="AV6">
        <v>1</v>
      </c>
      <c r="AW6">
        <v>2</v>
      </c>
      <c r="AX6">
        <v>80891676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ROUND(AT6*Source!I37*AH6*AL6,2)</f>
        <v>0</v>
      </c>
      <c r="CV6">
        <f>ROUND(Y6*Source!I37,9)</f>
        <v>126.98520000000001</v>
      </c>
      <c r="CW6">
        <v>0</v>
      </c>
      <c r="CX6">
        <f>ROUND(Y6*Source!I37,9)</f>
        <v>126.98520000000001</v>
      </c>
      <c r="CY6">
        <f>AD6</f>
        <v>0</v>
      </c>
      <c r="CZ6">
        <f>AH6</f>
        <v>0</v>
      </c>
      <c r="DA6">
        <f>AL6</f>
        <v>1</v>
      </c>
      <c r="DB6">
        <f>ROUND((ROUND(AT6*CZ6,2)*50),6)</f>
        <v>0</v>
      </c>
      <c r="DC6">
        <f>ROUND((ROUND(AT6*AG6,2)*50),6)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ROW(Source!A37)</f>
        <v>37</v>
      </c>
      <c r="B7">
        <v>80891185</v>
      </c>
      <c r="C7">
        <v>80891672</v>
      </c>
      <c r="D7">
        <v>80213219</v>
      </c>
      <c r="E7">
        <v>1</v>
      </c>
      <c r="F7">
        <v>1</v>
      </c>
      <c r="G7">
        <v>15514512</v>
      </c>
      <c r="H7">
        <v>2</v>
      </c>
      <c r="I7" t="s">
        <v>266</v>
      </c>
      <c r="J7" t="s">
        <v>267</v>
      </c>
      <c r="K7" t="s">
        <v>268</v>
      </c>
      <c r="L7">
        <v>1368</v>
      </c>
      <c r="N7">
        <v>1011</v>
      </c>
      <c r="O7" t="s">
        <v>259</v>
      </c>
      <c r="P7" t="s">
        <v>259</v>
      </c>
      <c r="Q7">
        <v>1</v>
      </c>
      <c r="W7">
        <v>0</v>
      </c>
      <c r="X7">
        <v>26148632</v>
      </c>
      <c r="Y7">
        <f>(AT7*50)</f>
        <v>4</v>
      </c>
      <c r="AA7">
        <v>0</v>
      </c>
      <c r="AB7">
        <v>1988.28</v>
      </c>
      <c r="AC7">
        <v>838.86</v>
      </c>
      <c r="AD7">
        <v>0</v>
      </c>
      <c r="AE7">
        <v>0</v>
      </c>
      <c r="AF7">
        <v>1988.28</v>
      </c>
      <c r="AG7">
        <v>838.86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0.08</v>
      </c>
      <c r="AU7" t="s">
        <v>49</v>
      </c>
      <c r="AV7">
        <v>0</v>
      </c>
      <c r="AW7">
        <v>2</v>
      </c>
      <c r="AX7">
        <v>80891677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f>ROUND(Y7*Source!I37*DO7,9)</f>
        <v>0</v>
      </c>
      <c r="CX7">
        <f>ROUND(Y7*Source!I37,9)</f>
        <v>507.94080000000002</v>
      </c>
      <c r="CY7">
        <f>AB7</f>
        <v>1988.28</v>
      </c>
      <c r="CZ7">
        <f>AF7</f>
        <v>1988.28</v>
      </c>
      <c r="DA7">
        <f>AJ7</f>
        <v>1</v>
      </c>
      <c r="DB7">
        <f>ROUND((ROUND(AT7*CZ7,2)*50),6)</f>
        <v>7953</v>
      </c>
      <c r="DC7">
        <f>ROUND((ROUND(AT7*AG7,2)*50),6)</f>
        <v>3355.5</v>
      </c>
      <c r="DD7" t="s">
        <v>3</v>
      </c>
      <c r="DE7" t="s">
        <v>3</v>
      </c>
      <c r="DF7">
        <f t="shared" si="0"/>
        <v>0</v>
      </c>
      <c r="DG7">
        <f t="shared" si="1"/>
        <v>1009928.53</v>
      </c>
      <c r="DH7">
        <f t="shared" si="2"/>
        <v>426091.22</v>
      </c>
      <c r="DI7">
        <f t="shared" si="3"/>
        <v>0</v>
      </c>
      <c r="DJ7">
        <f>DG7</f>
        <v>1009928.53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ROW(Source!A37)</f>
        <v>37</v>
      </c>
      <c r="B8">
        <v>80891185</v>
      </c>
      <c r="C8">
        <v>80891672</v>
      </c>
      <c r="D8">
        <v>80216195</v>
      </c>
      <c r="E8">
        <v>1</v>
      </c>
      <c r="F8">
        <v>1</v>
      </c>
      <c r="G8">
        <v>15514512</v>
      </c>
      <c r="H8">
        <v>3</v>
      </c>
      <c r="I8" t="s">
        <v>269</v>
      </c>
      <c r="J8" t="s">
        <v>270</v>
      </c>
      <c r="K8" t="s">
        <v>271</v>
      </c>
      <c r="L8">
        <v>1346</v>
      </c>
      <c r="N8">
        <v>1009</v>
      </c>
      <c r="O8" t="s">
        <v>215</v>
      </c>
      <c r="P8" t="s">
        <v>215</v>
      </c>
      <c r="Q8">
        <v>1</v>
      </c>
      <c r="W8">
        <v>0</v>
      </c>
      <c r="X8">
        <v>-584861322</v>
      </c>
      <c r="Y8">
        <f>(AT8*50)</f>
        <v>2500</v>
      </c>
      <c r="AA8">
        <v>27.3</v>
      </c>
      <c r="AB8">
        <v>0</v>
      </c>
      <c r="AC8">
        <v>0</v>
      </c>
      <c r="AD8">
        <v>0</v>
      </c>
      <c r="AE8">
        <v>27.3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50</v>
      </c>
      <c r="AU8" t="s">
        <v>49</v>
      </c>
      <c r="AV8">
        <v>0</v>
      </c>
      <c r="AW8">
        <v>2</v>
      </c>
      <c r="AX8">
        <v>80891678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ROUND(Y8*Source!I37,9)</f>
        <v>317463</v>
      </c>
      <c r="CY8">
        <f>AA8</f>
        <v>27.3</v>
      </c>
      <c r="CZ8">
        <f>AE8</f>
        <v>27.3</v>
      </c>
      <c r="DA8">
        <f>AI8</f>
        <v>1</v>
      </c>
      <c r="DB8">
        <f>ROUND((ROUND(AT8*CZ8,2)*50),6)</f>
        <v>68250</v>
      </c>
      <c r="DC8">
        <f>ROUND((ROUND(AT8*AG8,2)*50),6)</f>
        <v>0</v>
      </c>
      <c r="DD8" t="s">
        <v>3</v>
      </c>
      <c r="DE8" t="s">
        <v>3</v>
      </c>
      <c r="DF8">
        <f t="shared" si="0"/>
        <v>8666739.9000000004</v>
      </c>
      <c r="DG8">
        <f t="shared" si="1"/>
        <v>0</v>
      </c>
      <c r="DH8">
        <f t="shared" si="2"/>
        <v>0</v>
      </c>
      <c r="DI8">
        <f t="shared" si="3"/>
        <v>0</v>
      </c>
      <c r="DJ8">
        <f>DF8</f>
        <v>8666739.9000000004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ROW(Source!A38)</f>
        <v>38</v>
      </c>
      <c r="B9">
        <v>80891185</v>
      </c>
      <c r="C9">
        <v>80891379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260</v>
      </c>
      <c r="J9" t="s">
        <v>3</v>
      </c>
      <c r="K9" t="s">
        <v>261</v>
      </c>
      <c r="L9">
        <v>1191</v>
      </c>
      <c r="N9">
        <v>1013</v>
      </c>
      <c r="O9" t="s">
        <v>262</v>
      </c>
      <c r="P9" t="s">
        <v>262</v>
      </c>
      <c r="Q9">
        <v>1</v>
      </c>
      <c r="W9">
        <v>0</v>
      </c>
      <c r="X9">
        <v>476480486</v>
      </c>
      <c r="Y9">
        <f>(AT9*50)</f>
        <v>15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</v>
      </c>
      <c r="AU9" t="s">
        <v>49</v>
      </c>
      <c r="AV9">
        <v>1</v>
      </c>
      <c r="AW9">
        <v>2</v>
      </c>
      <c r="AX9">
        <v>80891576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ROUND(AT9*Source!I38*AH9*AL9,2)</f>
        <v>0</v>
      </c>
      <c r="CV9">
        <f>ROUND(Y9*Source!I38,9)</f>
        <v>4761.9449999999997</v>
      </c>
      <c r="CW9">
        <v>0</v>
      </c>
      <c r="CX9">
        <f>ROUND(Y9*Source!I38,9)</f>
        <v>4761.9449999999997</v>
      </c>
      <c r="CY9">
        <f>AD9</f>
        <v>0</v>
      </c>
      <c r="CZ9">
        <f>AH9</f>
        <v>0</v>
      </c>
      <c r="DA9">
        <f>AL9</f>
        <v>1</v>
      </c>
      <c r="DB9">
        <f>ROUND((ROUND(AT9*CZ9,2)*50),6)</f>
        <v>0</v>
      </c>
      <c r="DC9">
        <f>ROUND((ROUND(AT9*AG9,2)*50),6)</f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ROW(Source!A38)</f>
        <v>38</v>
      </c>
      <c r="B10">
        <v>80891185</v>
      </c>
      <c r="C10">
        <v>80891379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269</v>
      </c>
      <c r="J10" t="s">
        <v>270</v>
      </c>
      <c r="K10" t="s">
        <v>271</v>
      </c>
      <c r="L10">
        <v>1346</v>
      </c>
      <c r="N10">
        <v>1009</v>
      </c>
      <c r="O10" t="s">
        <v>215</v>
      </c>
      <c r="P10" t="s">
        <v>215</v>
      </c>
      <c r="Q10">
        <v>1</v>
      </c>
      <c r="W10">
        <v>0</v>
      </c>
      <c r="X10">
        <v>-584861322</v>
      </c>
      <c r="Y10">
        <f>(AT10*50)</f>
        <v>250</v>
      </c>
      <c r="AA10">
        <v>27.3</v>
      </c>
      <c r="AB10">
        <v>0</v>
      </c>
      <c r="AC10">
        <v>0</v>
      </c>
      <c r="AD10">
        <v>0</v>
      </c>
      <c r="AE10">
        <v>27.3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</v>
      </c>
      <c r="AU10" t="s">
        <v>49</v>
      </c>
      <c r="AV10">
        <v>0</v>
      </c>
      <c r="AW10">
        <v>2</v>
      </c>
      <c r="AX10">
        <v>80891577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ROUND(Y10*Source!I38,9)</f>
        <v>79365.75</v>
      </c>
      <c r="CY10">
        <f>AA10</f>
        <v>27.3</v>
      </c>
      <c r="CZ10">
        <f>AE10</f>
        <v>27.3</v>
      </c>
      <c r="DA10">
        <f>AI10</f>
        <v>1</v>
      </c>
      <c r="DB10">
        <f>ROUND((ROUND(AT10*CZ10,2)*50),6)</f>
        <v>6825</v>
      </c>
      <c r="DC10">
        <f>ROUND((ROUND(AT10*AG10,2)*50),6)</f>
        <v>0</v>
      </c>
      <c r="DD10" t="s">
        <v>3</v>
      </c>
      <c r="DE10" t="s">
        <v>3</v>
      </c>
      <c r="DF10">
        <f t="shared" si="0"/>
        <v>2166684.98</v>
      </c>
      <c r="DG10">
        <f t="shared" si="1"/>
        <v>0</v>
      </c>
      <c r="DH10">
        <f t="shared" si="2"/>
        <v>0</v>
      </c>
      <c r="DI10">
        <f t="shared" si="3"/>
        <v>0</v>
      </c>
      <c r="DJ10">
        <f>DF10</f>
        <v>2166684.98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ROW(Source!A39)</f>
        <v>39</v>
      </c>
      <c r="B11">
        <v>80891185</v>
      </c>
      <c r="C11">
        <v>80891381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260</v>
      </c>
      <c r="J11" t="s">
        <v>3</v>
      </c>
      <c r="K11" t="s">
        <v>261</v>
      </c>
      <c r="L11">
        <v>1191</v>
      </c>
      <c r="N11">
        <v>1013</v>
      </c>
      <c r="O11" t="s">
        <v>262</v>
      </c>
      <c r="P11" t="s">
        <v>262</v>
      </c>
      <c r="Q11">
        <v>1</v>
      </c>
      <c r="W11">
        <v>0</v>
      </c>
      <c r="X11">
        <v>476480486</v>
      </c>
      <c r="Y11">
        <f>(AT11*20)</f>
        <v>48.2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2.41</v>
      </c>
      <c r="AU11" t="s">
        <v>58</v>
      </c>
      <c r="AV11">
        <v>1</v>
      </c>
      <c r="AW11">
        <v>2</v>
      </c>
      <c r="AX11">
        <v>80891581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ROUND(AT11*Source!I39*AH11*AL11,2)</f>
        <v>0</v>
      </c>
      <c r="CV11">
        <f>ROUND(Y11*Source!I39,9)</f>
        <v>765.07860000000005</v>
      </c>
      <c r="CW11">
        <v>0</v>
      </c>
      <c r="CX11">
        <f>ROUND(Y11*Source!I39,9)</f>
        <v>765.07860000000005</v>
      </c>
      <c r="CY11">
        <f>AD11</f>
        <v>0</v>
      </c>
      <c r="CZ11">
        <f>AH11</f>
        <v>0</v>
      </c>
      <c r="DA11">
        <f>AL11</f>
        <v>1</v>
      </c>
      <c r="DB11">
        <f>ROUND((ROUND(AT11*CZ11,2)*20),6)</f>
        <v>0</v>
      </c>
      <c r="DC11">
        <f>ROUND((ROUND(AT11*AG11,2)*20),6)</f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ROW(Source!A40)</f>
        <v>40</v>
      </c>
      <c r="B12">
        <v>80891185</v>
      </c>
      <c r="C12">
        <v>80891679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260</v>
      </c>
      <c r="J12" t="s">
        <v>3</v>
      </c>
      <c r="K12" t="s">
        <v>261</v>
      </c>
      <c r="L12">
        <v>1191</v>
      </c>
      <c r="N12">
        <v>1013</v>
      </c>
      <c r="O12" t="s">
        <v>262</v>
      </c>
      <c r="P12" t="s">
        <v>262</v>
      </c>
      <c r="Q12">
        <v>1</v>
      </c>
      <c r="W12">
        <v>0</v>
      </c>
      <c r="X12">
        <v>476480486</v>
      </c>
      <c r="Y12">
        <f>AT12</f>
        <v>0.37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0.37</v>
      </c>
      <c r="AU12" t="s">
        <v>3</v>
      </c>
      <c r="AV12">
        <v>1</v>
      </c>
      <c r="AW12">
        <v>2</v>
      </c>
      <c r="AX12">
        <v>80891682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ROUND(AT12*Source!I40*AH12*AL12,2)</f>
        <v>0</v>
      </c>
      <c r="CV12">
        <f>ROUND(Y12*Source!I40,9)</f>
        <v>10571.517900000001</v>
      </c>
      <c r="CW12">
        <v>0</v>
      </c>
      <c r="CX12">
        <f>ROUND(Y12*Source!I40,9)</f>
        <v>10571.517900000001</v>
      </c>
      <c r="CY12">
        <f>AD12</f>
        <v>0</v>
      </c>
      <c r="CZ12">
        <f>AH12</f>
        <v>0</v>
      </c>
      <c r="DA12">
        <f>AL12</f>
        <v>1</v>
      </c>
      <c r="DB12">
        <f>ROUND(ROUND(AT12*CZ12,2),6)</f>
        <v>0</v>
      </c>
      <c r="DC12">
        <f>ROUND(ROUND(AT12*AG12,2),6)</f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ROW(Source!A40)</f>
        <v>40</v>
      </c>
      <c r="B13">
        <v>80891185</v>
      </c>
      <c r="C13">
        <v>80891679</v>
      </c>
      <c r="D13">
        <v>80212784</v>
      </c>
      <c r="E13">
        <v>1</v>
      </c>
      <c r="F13">
        <v>1</v>
      </c>
      <c r="G13">
        <v>15514512</v>
      </c>
      <c r="H13">
        <v>2</v>
      </c>
      <c r="I13" t="s">
        <v>272</v>
      </c>
      <c r="J13" t="s">
        <v>273</v>
      </c>
      <c r="K13" t="s">
        <v>274</v>
      </c>
      <c r="L13">
        <v>1368</v>
      </c>
      <c r="N13">
        <v>1011</v>
      </c>
      <c r="O13" t="s">
        <v>259</v>
      </c>
      <c r="P13" t="s">
        <v>259</v>
      </c>
      <c r="Q13">
        <v>1</v>
      </c>
      <c r="W13">
        <v>0</v>
      </c>
      <c r="X13">
        <v>-290374090</v>
      </c>
      <c r="Y13">
        <f>AT13</f>
        <v>0.34</v>
      </c>
      <c r="AA13">
        <v>0</v>
      </c>
      <c r="AB13">
        <v>2097.0700000000002</v>
      </c>
      <c r="AC13">
        <v>1028.7</v>
      </c>
      <c r="AD13">
        <v>0</v>
      </c>
      <c r="AE13">
        <v>0</v>
      </c>
      <c r="AF13">
        <v>2097.0700000000002</v>
      </c>
      <c r="AG13">
        <v>1028.7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0.34</v>
      </c>
      <c r="AU13" t="s">
        <v>3</v>
      </c>
      <c r="AV13">
        <v>0</v>
      </c>
      <c r="AW13">
        <v>2</v>
      </c>
      <c r="AX13">
        <v>80891683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ROUND(Y13*Source!I40*DO13,9)</f>
        <v>0</v>
      </c>
      <c r="CX13">
        <f>ROUND(Y13*Source!I40,9)</f>
        <v>9714.3678</v>
      </c>
      <c r="CY13">
        <f>AB13</f>
        <v>2097.0700000000002</v>
      </c>
      <c r="CZ13">
        <f>AF13</f>
        <v>2097.0700000000002</v>
      </c>
      <c r="DA13">
        <f>AJ13</f>
        <v>1</v>
      </c>
      <c r="DB13">
        <f>ROUND(ROUND(AT13*CZ13,2),6)</f>
        <v>713</v>
      </c>
      <c r="DC13">
        <f>ROUND(ROUND(AT13*AG13,2),6)</f>
        <v>349.76</v>
      </c>
      <c r="DD13" t="s">
        <v>3</v>
      </c>
      <c r="DE13" t="s">
        <v>3</v>
      </c>
      <c r="DF13">
        <f t="shared" si="0"/>
        <v>0</v>
      </c>
      <c r="DG13">
        <f t="shared" si="1"/>
        <v>20371709.280000001</v>
      </c>
      <c r="DH13">
        <f t="shared" si="2"/>
        <v>9993170.1600000001</v>
      </c>
      <c r="DI13">
        <f t="shared" si="3"/>
        <v>0</v>
      </c>
      <c r="DJ13">
        <f>DG13</f>
        <v>20371709.280000001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ROW(Source!A41)</f>
        <v>41</v>
      </c>
      <c r="B14">
        <v>80891185</v>
      </c>
      <c r="C14">
        <v>80891684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272</v>
      </c>
      <c r="J14" t="s">
        <v>273</v>
      </c>
      <c r="K14" t="s">
        <v>274</v>
      </c>
      <c r="L14">
        <v>1368</v>
      </c>
      <c r="N14">
        <v>1011</v>
      </c>
      <c r="O14" t="s">
        <v>259</v>
      </c>
      <c r="P14" t="s">
        <v>259</v>
      </c>
      <c r="Q14">
        <v>1</v>
      </c>
      <c r="W14">
        <v>0</v>
      </c>
      <c r="X14">
        <v>-290374090</v>
      </c>
      <c r="Y14">
        <f>AT14</f>
        <v>0.09</v>
      </c>
      <c r="AA14">
        <v>0</v>
      </c>
      <c r="AB14">
        <v>2097.0700000000002</v>
      </c>
      <c r="AC14">
        <v>1028.7</v>
      </c>
      <c r="AD14">
        <v>0</v>
      </c>
      <c r="AE14">
        <v>0</v>
      </c>
      <c r="AF14">
        <v>2097.0700000000002</v>
      </c>
      <c r="AG14">
        <v>1028.7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0.09</v>
      </c>
      <c r="AU14" t="s">
        <v>3</v>
      </c>
      <c r="AV14">
        <v>0</v>
      </c>
      <c r="AW14">
        <v>2</v>
      </c>
      <c r="AX14">
        <v>80891686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ROUND(Y14*Source!I41*DO14,9)</f>
        <v>0</v>
      </c>
      <c r="CX14">
        <f>ROUND(Y14*Source!I41,9)</f>
        <v>2571.4503</v>
      </c>
      <c r="CY14">
        <f>AB14</f>
        <v>2097.0700000000002</v>
      </c>
      <c r="CZ14">
        <f>AF14</f>
        <v>2097.0700000000002</v>
      </c>
      <c r="DA14">
        <f>AJ14</f>
        <v>1</v>
      </c>
      <c r="DB14">
        <f>ROUND(ROUND(AT14*CZ14,2),6)</f>
        <v>188.74</v>
      </c>
      <c r="DC14">
        <f>ROUND(ROUND(AT14*AG14,2),6)</f>
        <v>92.58</v>
      </c>
      <c r="DD14" t="s">
        <v>3</v>
      </c>
      <c r="DE14" t="s">
        <v>3</v>
      </c>
      <c r="DF14">
        <f t="shared" si="0"/>
        <v>0</v>
      </c>
      <c r="DG14">
        <f t="shared" si="1"/>
        <v>5392511.2800000003</v>
      </c>
      <c r="DH14">
        <f t="shared" si="2"/>
        <v>2645250.92</v>
      </c>
      <c r="DI14">
        <f t="shared" si="3"/>
        <v>0</v>
      </c>
      <c r="DJ14">
        <f>DG14</f>
        <v>5392511.2800000003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ROW(Source!A42)</f>
        <v>42</v>
      </c>
      <c r="B15">
        <v>80891185</v>
      </c>
      <c r="C15">
        <v>80891666</v>
      </c>
      <c r="D15">
        <v>80199986</v>
      </c>
      <c r="E15">
        <v>15514512</v>
      </c>
      <c r="F15">
        <v>1</v>
      </c>
      <c r="G15">
        <v>15514512</v>
      </c>
      <c r="H15">
        <v>1</v>
      </c>
      <c r="I15" t="s">
        <v>260</v>
      </c>
      <c r="J15" t="s">
        <v>3</v>
      </c>
      <c r="K15" t="s">
        <v>261</v>
      </c>
      <c r="L15">
        <v>1191</v>
      </c>
      <c r="N15">
        <v>1013</v>
      </c>
      <c r="O15" t="s">
        <v>262</v>
      </c>
      <c r="P15" t="s">
        <v>262</v>
      </c>
      <c r="Q15">
        <v>1</v>
      </c>
      <c r="W15">
        <v>0</v>
      </c>
      <c r="X15">
        <v>476480486</v>
      </c>
      <c r="Y15">
        <f>(AT15*55)</f>
        <v>13.2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0.24</v>
      </c>
      <c r="AU15" t="s">
        <v>22</v>
      </c>
      <c r="AV15">
        <v>1</v>
      </c>
      <c r="AW15">
        <v>2</v>
      </c>
      <c r="AX15">
        <v>80891668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ROUND(AT15*Source!I42*AH15*AL15,2)</f>
        <v>0</v>
      </c>
      <c r="CV15">
        <f>ROUND(Y15*Source!I42,9)</f>
        <v>429.44880000000001</v>
      </c>
      <c r="CW15">
        <v>0</v>
      </c>
      <c r="CX15">
        <f>ROUND(Y15*Source!I42,9)</f>
        <v>429.44880000000001</v>
      </c>
      <c r="CY15">
        <f>AD15</f>
        <v>0</v>
      </c>
      <c r="CZ15">
        <f>AH15</f>
        <v>0</v>
      </c>
      <c r="DA15">
        <f>AL15</f>
        <v>1</v>
      </c>
      <c r="DB15">
        <f>ROUND((ROUND(AT15*CZ15,2)*55),6)</f>
        <v>0</v>
      </c>
      <c r="DC15">
        <f>ROUND((ROUND(AT15*AG15,2)*55),6)</f>
        <v>0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>DI15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ROW(Source!A43)</f>
        <v>43</v>
      </c>
      <c r="B16">
        <v>80891185</v>
      </c>
      <c r="C16">
        <v>80891689</v>
      </c>
      <c r="D16">
        <v>80199986</v>
      </c>
      <c r="E16">
        <v>15514512</v>
      </c>
      <c r="F16">
        <v>1</v>
      </c>
      <c r="G16">
        <v>15514512</v>
      </c>
      <c r="H16">
        <v>1</v>
      </c>
      <c r="I16" t="s">
        <v>260</v>
      </c>
      <c r="J16" t="s">
        <v>3</v>
      </c>
      <c r="K16" t="s">
        <v>261</v>
      </c>
      <c r="L16">
        <v>1191</v>
      </c>
      <c r="N16">
        <v>1013</v>
      </c>
      <c r="O16" t="s">
        <v>262</v>
      </c>
      <c r="P16" t="s">
        <v>262</v>
      </c>
      <c r="Q16">
        <v>1</v>
      </c>
      <c r="W16">
        <v>0</v>
      </c>
      <c r="X16">
        <v>476480486</v>
      </c>
      <c r="Y16">
        <f>(AT16*55)</f>
        <v>209.55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3.81</v>
      </c>
      <c r="AU16" t="s">
        <v>22</v>
      </c>
      <c r="AV16">
        <v>1</v>
      </c>
      <c r="AW16">
        <v>2</v>
      </c>
      <c r="AX16">
        <v>80891691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ROUND(AT16*Source!I43*AH16*AL16,2)</f>
        <v>0</v>
      </c>
      <c r="CV16">
        <f>ROUND(Y16*Source!I43,9)</f>
        <v>2461.3742999999999</v>
      </c>
      <c r="CW16">
        <v>0</v>
      </c>
      <c r="CX16">
        <f>ROUND(Y16*Source!I43,9)</f>
        <v>2461.3742999999999</v>
      </c>
      <c r="CY16">
        <f>AD16</f>
        <v>0</v>
      </c>
      <c r="CZ16">
        <f>AH16</f>
        <v>0</v>
      </c>
      <c r="DA16">
        <f>AL16</f>
        <v>1</v>
      </c>
      <c r="DB16">
        <f>ROUND((ROUND(AT16*CZ16,2)*55),6)</f>
        <v>0</v>
      </c>
      <c r="DC16">
        <f>ROUND((ROUND(AT16*AG16,2)*55),6)</f>
        <v>0</v>
      </c>
      <c r="DD16" t="s">
        <v>3</v>
      </c>
      <c r="DE16" t="s">
        <v>3</v>
      </c>
      <c r="DF16">
        <f t="shared" si="0"/>
        <v>0</v>
      </c>
      <c r="DG16">
        <f t="shared" si="1"/>
        <v>0</v>
      </c>
      <c r="DH16">
        <f t="shared" si="2"/>
        <v>0</v>
      </c>
      <c r="DI16">
        <f t="shared" si="3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ROW(Source!A44)</f>
        <v>44</v>
      </c>
      <c r="B17">
        <v>80891185</v>
      </c>
      <c r="C17">
        <v>80891384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260</v>
      </c>
      <c r="J17" t="s">
        <v>3</v>
      </c>
      <c r="K17" t="s">
        <v>261</v>
      </c>
      <c r="L17">
        <v>1191</v>
      </c>
      <c r="N17">
        <v>1013</v>
      </c>
      <c r="O17" t="s">
        <v>262</v>
      </c>
      <c r="P17" t="s">
        <v>262</v>
      </c>
      <c r="Q17">
        <v>1</v>
      </c>
      <c r="W17">
        <v>0</v>
      </c>
      <c r="X17">
        <v>476480486</v>
      </c>
      <c r="Y17">
        <f>(AT17*50)</f>
        <v>140.5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2.81</v>
      </c>
      <c r="AU17" t="s">
        <v>49</v>
      </c>
      <c r="AV17">
        <v>1</v>
      </c>
      <c r="AW17">
        <v>2</v>
      </c>
      <c r="AX17">
        <v>80891585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ROUND(AT17*Source!I44*AH17*AL17,2)</f>
        <v>0</v>
      </c>
      <c r="CV17">
        <f>ROUND(Y17*Source!I44,9)</f>
        <v>115.99679999999999</v>
      </c>
      <c r="CW17">
        <v>0</v>
      </c>
      <c r="CX17">
        <f>ROUND(Y17*Source!I44,9)</f>
        <v>115.99679999999999</v>
      </c>
      <c r="CY17">
        <f>AD17</f>
        <v>0</v>
      </c>
      <c r="CZ17">
        <f>AH17</f>
        <v>0</v>
      </c>
      <c r="DA17">
        <f>AL17</f>
        <v>1</v>
      </c>
      <c r="DB17">
        <f>ROUND((ROUND(AT17*CZ17,2)*50),6)</f>
        <v>0</v>
      </c>
      <c r="DC17">
        <f>ROUND((ROUND(AT17*AG17,2)*50),6)</f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ROW(Source!A45)</f>
        <v>45</v>
      </c>
      <c r="B18">
        <v>80891185</v>
      </c>
      <c r="C18">
        <v>80891385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260</v>
      </c>
      <c r="J18" t="s">
        <v>3</v>
      </c>
      <c r="K18" t="s">
        <v>261</v>
      </c>
      <c r="L18">
        <v>1191</v>
      </c>
      <c r="N18">
        <v>1013</v>
      </c>
      <c r="O18" t="s">
        <v>262</v>
      </c>
      <c r="P18" t="s">
        <v>262</v>
      </c>
      <c r="Q18">
        <v>1</v>
      </c>
      <c r="W18">
        <v>0</v>
      </c>
      <c r="X18">
        <v>476480486</v>
      </c>
      <c r="Y18">
        <f>(AT18*166)</f>
        <v>400.06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2.41</v>
      </c>
      <c r="AU18" t="s">
        <v>85</v>
      </c>
      <c r="AV18">
        <v>1</v>
      </c>
      <c r="AW18">
        <v>2</v>
      </c>
      <c r="AX18">
        <v>80891586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ROUND(AT18*Source!I45*AH18*AL18,2)</f>
        <v>0</v>
      </c>
      <c r="CV18">
        <f>ROUND(Y18*Source!I45,9)</f>
        <v>200.03</v>
      </c>
      <c r="CW18">
        <v>0</v>
      </c>
      <c r="CX18">
        <f>ROUND(Y18*Source!I45,9)</f>
        <v>200.03</v>
      </c>
      <c r="CY18">
        <f>AD18</f>
        <v>0</v>
      </c>
      <c r="CZ18">
        <f>AH18</f>
        <v>0</v>
      </c>
      <c r="DA18">
        <f>AL18</f>
        <v>1</v>
      </c>
      <c r="DB18">
        <f>ROUND((ROUND(AT18*CZ18,2)*166),6)</f>
        <v>0</v>
      </c>
      <c r="DC18">
        <f>ROUND((ROUND(AT18*AG18,2)*166),6)</f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ROW(Source!A45)</f>
        <v>45</v>
      </c>
      <c r="B19">
        <v>80891185</v>
      </c>
      <c r="C19">
        <v>80891385</v>
      </c>
      <c r="D19">
        <v>80215860</v>
      </c>
      <c r="E19">
        <v>1</v>
      </c>
      <c r="F19">
        <v>1</v>
      </c>
      <c r="G19">
        <v>15514512</v>
      </c>
      <c r="H19">
        <v>3</v>
      </c>
      <c r="I19" t="s">
        <v>275</v>
      </c>
      <c r="J19" t="s">
        <v>276</v>
      </c>
      <c r="K19" t="s">
        <v>277</v>
      </c>
      <c r="L19">
        <v>1354</v>
      </c>
      <c r="N19">
        <v>1010</v>
      </c>
      <c r="O19" t="s">
        <v>278</v>
      </c>
      <c r="P19" t="s">
        <v>278</v>
      </c>
      <c r="Q19">
        <v>1</v>
      </c>
      <c r="W19">
        <v>0</v>
      </c>
      <c r="X19">
        <v>-1952007382</v>
      </c>
      <c r="Y19">
        <f>(AT19*166)</f>
        <v>16600</v>
      </c>
      <c r="AA19">
        <v>2.75</v>
      </c>
      <c r="AB19">
        <v>0</v>
      </c>
      <c r="AC19">
        <v>0</v>
      </c>
      <c r="AD19">
        <v>0</v>
      </c>
      <c r="AE19">
        <v>2.75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100</v>
      </c>
      <c r="AU19" t="s">
        <v>85</v>
      </c>
      <c r="AV19">
        <v>0</v>
      </c>
      <c r="AW19">
        <v>2</v>
      </c>
      <c r="AX19">
        <v>80891587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ROUND(Y19*Source!I45,9)</f>
        <v>8300</v>
      </c>
      <c r="CY19">
        <f>AA19</f>
        <v>2.75</v>
      </c>
      <c r="CZ19">
        <f>AE19</f>
        <v>2.75</v>
      </c>
      <c r="DA19">
        <f>AI19</f>
        <v>1</v>
      </c>
      <c r="DB19">
        <f>ROUND((ROUND(AT19*CZ19,2)*166),6)</f>
        <v>45650</v>
      </c>
      <c r="DC19">
        <f>ROUND((ROUND(AT19*AG19,2)*166),6)</f>
        <v>0</v>
      </c>
      <c r="DD19" t="s">
        <v>3</v>
      </c>
      <c r="DE19" t="s">
        <v>3</v>
      </c>
      <c r="DF19">
        <f t="shared" si="0"/>
        <v>22825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22825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ROW(Source!A46)</f>
        <v>46</v>
      </c>
      <c r="B20">
        <v>80891185</v>
      </c>
      <c r="C20">
        <v>80891387</v>
      </c>
      <c r="D20">
        <v>80199986</v>
      </c>
      <c r="E20">
        <v>15514512</v>
      </c>
      <c r="F20">
        <v>1</v>
      </c>
      <c r="G20">
        <v>15514512</v>
      </c>
      <c r="H20">
        <v>1</v>
      </c>
      <c r="I20" t="s">
        <v>260</v>
      </c>
      <c r="J20" t="s">
        <v>3</v>
      </c>
      <c r="K20" t="s">
        <v>261</v>
      </c>
      <c r="L20">
        <v>1191</v>
      </c>
      <c r="N20">
        <v>1013</v>
      </c>
      <c r="O20" t="s">
        <v>262</v>
      </c>
      <c r="P20" t="s">
        <v>262</v>
      </c>
      <c r="Q20">
        <v>1</v>
      </c>
      <c r="W20">
        <v>0</v>
      </c>
      <c r="X20">
        <v>476480486</v>
      </c>
      <c r="Y20">
        <f>AT20</f>
        <v>0.23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0.23</v>
      </c>
      <c r="AU20" t="s">
        <v>3</v>
      </c>
      <c r="AV20">
        <v>1</v>
      </c>
      <c r="AW20">
        <v>2</v>
      </c>
      <c r="AX20">
        <v>80891593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ROUND(AT20*Source!I46*AH20*AL20,2)</f>
        <v>0</v>
      </c>
      <c r="CV20">
        <f>ROUND(Y20*Source!I46,9)</f>
        <v>1043.5422000000001</v>
      </c>
      <c r="CW20">
        <v>0</v>
      </c>
      <c r="CX20">
        <f>ROUND(Y20*Source!I46,9)</f>
        <v>1043.5422000000001</v>
      </c>
      <c r="CY20">
        <f>AD20</f>
        <v>0</v>
      </c>
      <c r="CZ20">
        <f>AH20</f>
        <v>0</v>
      </c>
      <c r="DA20">
        <f>AL20</f>
        <v>1</v>
      </c>
      <c r="DB20">
        <f>ROUND(ROUND(AT20*CZ20,2),6)</f>
        <v>0</v>
      </c>
      <c r="DC20">
        <f>ROUND(ROUND(AT20*AG20,2),6)</f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>DI20</f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ROW(Source!A47)</f>
        <v>47</v>
      </c>
      <c r="B21">
        <v>80891185</v>
      </c>
      <c r="C21">
        <v>80891388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260</v>
      </c>
      <c r="J21" t="s">
        <v>3</v>
      </c>
      <c r="K21" t="s">
        <v>261</v>
      </c>
      <c r="L21">
        <v>1191</v>
      </c>
      <c r="N21">
        <v>1013</v>
      </c>
      <c r="O21" t="s">
        <v>262</v>
      </c>
      <c r="P21" t="s">
        <v>262</v>
      </c>
      <c r="Q21">
        <v>1</v>
      </c>
      <c r="W21">
        <v>0</v>
      </c>
      <c r="X21">
        <v>476480486</v>
      </c>
      <c r="Y21">
        <f>(AT21*166)</f>
        <v>512.93999999999994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3.09</v>
      </c>
      <c r="AU21" t="s">
        <v>85</v>
      </c>
      <c r="AV21">
        <v>1</v>
      </c>
      <c r="AW21">
        <v>2</v>
      </c>
      <c r="AX21">
        <v>80891594</v>
      </c>
      <c r="AY21">
        <v>1</v>
      </c>
      <c r="AZ21">
        <v>2048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ROUND(AT21*Source!I47*AH21*AL21,2)</f>
        <v>0</v>
      </c>
      <c r="CV21">
        <f>ROUND(Y21*Source!I47,9)</f>
        <v>153.88200000000001</v>
      </c>
      <c r="CW21">
        <v>0</v>
      </c>
      <c r="CX21">
        <f>ROUND(Y21*Source!I47,9)</f>
        <v>153.88200000000001</v>
      </c>
      <c r="CY21">
        <f>AD21</f>
        <v>0</v>
      </c>
      <c r="CZ21">
        <f>AH21</f>
        <v>0</v>
      </c>
      <c r="DA21">
        <f>AL21</f>
        <v>1</v>
      </c>
      <c r="DB21">
        <f>ROUND((ROUND(AT21*CZ21,2)*166),6)</f>
        <v>0</v>
      </c>
      <c r="DC21">
        <f>ROUND((ROUND(AT21*AG21,2)*166),6)</f>
        <v>0</v>
      </c>
      <c r="DD21" t="s">
        <v>3</v>
      </c>
      <c r="DE21" t="s">
        <v>3</v>
      </c>
      <c r="DF21">
        <f t="shared" si="0"/>
        <v>0</v>
      </c>
      <c r="DG21">
        <f t="shared" si="1"/>
        <v>0</v>
      </c>
      <c r="DH21">
        <f t="shared" si="2"/>
        <v>0</v>
      </c>
      <c r="DI21">
        <f t="shared" si="3"/>
        <v>0</v>
      </c>
      <c r="DJ21">
        <f>DI21</f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ROW(Source!A83)</f>
        <v>83</v>
      </c>
      <c r="B22">
        <v>80891185</v>
      </c>
      <c r="C22">
        <v>80891447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263</v>
      </c>
      <c r="J22" t="s">
        <v>264</v>
      </c>
      <c r="K22" t="s">
        <v>265</v>
      </c>
      <c r="L22">
        <v>1368</v>
      </c>
      <c r="N22">
        <v>1011</v>
      </c>
      <c r="O22" t="s">
        <v>259</v>
      </c>
      <c r="P22" t="s">
        <v>259</v>
      </c>
      <c r="Q22">
        <v>1</v>
      </c>
      <c r="W22">
        <v>0</v>
      </c>
      <c r="X22">
        <v>-566548736</v>
      </c>
      <c r="Y22">
        <f>(AT22*171)</f>
        <v>44.46</v>
      </c>
      <c r="AA22">
        <v>0</v>
      </c>
      <c r="AB22">
        <v>1783.28</v>
      </c>
      <c r="AC22">
        <v>842.87</v>
      </c>
      <c r="AD22">
        <v>0</v>
      </c>
      <c r="AE22">
        <v>0</v>
      </c>
      <c r="AF22">
        <v>1783.28</v>
      </c>
      <c r="AG22">
        <v>842.87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0.26</v>
      </c>
      <c r="AU22" t="s">
        <v>149</v>
      </c>
      <c r="AV22">
        <v>0</v>
      </c>
      <c r="AW22">
        <v>2</v>
      </c>
      <c r="AX22">
        <v>80891595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ROUND(Y22*Source!I83*DO22,9)</f>
        <v>0</v>
      </c>
      <c r="CX22">
        <f>ROUND(Y22*Source!I83,9)</f>
        <v>5645.7619919999997</v>
      </c>
      <c r="CY22">
        <f>AB22</f>
        <v>1783.28</v>
      </c>
      <c r="CZ22">
        <f>AF22</f>
        <v>1783.28</v>
      </c>
      <c r="DA22">
        <f>AJ22</f>
        <v>1</v>
      </c>
      <c r="DB22">
        <f>ROUND((ROUND(AT22*CZ22,2)*171),6)</f>
        <v>79284.149999999994</v>
      </c>
      <c r="DC22">
        <f>ROUND((ROUND(AT22*AG22,2)*171),6)</f>
        <v>37474.65</v>
      </c>
      <c r="DD22" t="s">
        <v>3</v>
      </c>
      <c r="DE22" t="s">
        <v>3</v>
      </c>
      <c r="DF22">
        <f t="shared" si="0"/>
        <v>0</v>
      </c>
      <c r="DG22">
        <f t="shared" si="1"/>
        <v>10067974.449999999</v>
      </c>
      <c r="DH22">
        <f t="shared" si="2"/>
        <v>4758643.41</v>
      </c>
      <c r="DI22">
        <f t="shared" si="3"/>
        <v>0</v>
      </c>
      <c r="DJ22">
        <f>DG22</f>
        <v>10067974.449999999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ROW(Source!A83)</f>
        <v>83</v>
      </c>
      <c r="B23">
        <v>80891185</v>
      </c>
      <c r="C23">
        <v>80891447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W23">
        <v>1</v>
      </c>
      <c r="X23">
        <v>2112060389</v>
      </c>
      <c r="Y23">
        <f>(AT23*171)</f>
        <v>-34.200000000000003</v>
      </c>
      <c r="AA23">
        <v>54.81</v>
      </c>
      <c r="AB23">
        <v>0</v>
      </c>
      <c r="AC23">
        <v>0</v>
      </c>
      <c r="AD23">
        <v>0</v>
      </c>
      <c r="AE23">
        <v>54.81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-0.2</v>
      </c>
      <c r="AU23" t="s">
        <v>149</v>
      </c>
      <c r="AV23">
        <v>0</v>
      </c>
      <c r="AW23">
        <v>2</v>
      </c>
      <c r="AX23">
        <v>80891596</v>
      </c>
      <c r="AY23">
        <v>1</v>
      </c>
      <c r="AZ23">
        <v>6144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ROUND(Y23*Source!I83,9)</f>
        <v>-4342.8938399999997</v>
      </c>
      <c r="CY23">
        <f>AA23</f>
        <v>54.81</v>
      </c>
      <c r="CZ23">
        <f>AE23</f>
        <v>54.81</v>
      </c>
      <c r="DA23">
        <f>AI23</f>
        <v>1</v>
      </c>
      <c r="DB23">
        <f>ROUND((ROUND(AT23*CZ23,2)*171),6)</f>
        <v>-1874.16</v>
      </c>
      <c r="DC23">
        <f>ROUND((ROUND(AT23*AG23,2)*171),6)</f>
        <v>0</v>
      </c>
      <c r="DD23" t="s">
        <v>3</v>
      </c>
      <c r="DE23" t="s">
        <v>3</v>
      </c>
      <c r="DF23">
        <f t="shared" si="0"/>
        <v>-238034.01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DF23</f>
        <v>-238034.01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ROW(Source!A85)</f>
        <v>85</v>
      </c>
      <c r="B24">
        <v>80891185</v>
      </c>
      <c r="C24">
        <v>80891448</v>
      </c>
      <c r="D24">
        <v>80199986</v>
      </c>
      <c r="E24">
        <v>15514512</v>
      </c>
      <c r="F24">
        <v>1</v>
      </c>
      <c r="G24">
        <v>15514512</v>
      </c>
      <c r="H24">
        <v>1</v>
      </c>
      <c r="I24" t="s">
        <v>260</v>
      </c>
      <c r="J24" t="s">
        <v>3</v>
      </c>
      <c r="K24" t="s">
        <v>261</v>
      </c>
      <c r="L24">
        <v>1191</v>
      </c>
      <c r="N24">
        <v>1013</v>
      </c>
      <c r="O24" t="s">
        <v>262</v>
      </c>
      <c r="P24" t="s">
        <v>262</v>
      </c>
      <c r="Q24">
        <v>1</v>
      </c>
      <c r="W24">
        <v>0</v>
      </c>
      <c r="X24">
        <v>476480486</v>
      </c>
      <c r="Y24">
        <f>(AT24*171)</f>
        <v>23.94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0.14000000000000001</v>
      </c>
      <c r="AU24" t="s">
        <v>149</v>
      </c>
      <c r="AV24">
        <v>1</v>
      </c>
      <c r="AW24">
        <v>2</v>
      </c>
      <c r="AX24">
        <v>80891598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ROUND(AT24*Source!I85*AH24*AL24,2)</f>
        <v>0</v>
      </c>
      <c r="CV24">
        <f>ROUND(Y24*Source!I85,9)</f>
        <v>7600.0642200000002</v>
      </c>
      <c r="CW24">
        <v>0</v>
      </c>
      <c r="CX24">
        <f>ROUND(Y24*Source!I85,9)</f>
        <v>7600.0642200000002</v>
      </c>
      <c r="CY24">
        <f>AD24</f>
        <v>0</v>
      </c>
      <c r="CZ24">
        <f>AH24</f>
        <v>0</v>
      </c>
      <c r="DA24">
        <f>AL24</f>
        <v>1</v>
      </c>
      <c r="DB24">
        <f>ROUND((ROUND(AT24*CZ24,2)*171),6)</f>
        <v>0</v>
      </c>
      <c r="DC24">
        <f>ROUND((ROUND(AT24*AG24,2)*171),6)</f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ROW(Source!A86)</f>
        <v>86</v>
      </c>
      <c r="B25">
        <v>80891185</v>
      </c>
      <c r="C25">
        <v>80891451</v>
      </c>
      <c r="D25">
        <v>80213221</v>
      </c>
      <c r="E25">
        <v>1</v>
      </c>
      <c r="F25">
        <v>1</v>
      </c>
      <c r="G25">
        <v>15514512</v>
      </c>
      <c r="H25">
        <v>2</v>
      </c>
      <c r="I25" t="s">
        <v>263</v>
      </c>
      <c r="J25" t="s">
        <v>264</v>
      </c>
      <c r="K25" t="s">
        <v>265</v>
      </c>
      <c r="L25">
        <v>1368</v>
      </c>
      <c r="N25">
        <v>1011</v>
      </c>
      <c r="O25" t="s">
        <v>259</v>
      </c>
      <c r="P25" t="s">
        <v>259</v>
      </c>
      <c r="Q25">
        <v>1</v>
      </c>
      <c r="W25">
        <v>0</v>
      </c>
      <c r="X25">
        <v>-566548736</v>
      </c>
      <c r="Y25">
        <f>(AT25*14)</f>
        <v>5.88</v>
      </c>
      <c r="AA25">
        <v>0</v>
      </c>
      <c r="AB25">
        <v>1783.28</v>
      </c>
      <c r="AC25">
        <v>842.87</v>
      </c>
      <c r="AD25">
        <v>0</v>
      </c>
      <c r="AE25">
        <v>0</v>
      </c>
      <c r="AF25">
        <v>1783.28</v>
      </c>
      <c r="AG25">
        <v>842.87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0.42</v>
      </c>
      <c r="AU25" t="s">
        <v>156</v>
      </c>
      <c r="AV25">
        <v>0</v>
      </c>
      <c r="AW25">
        <v>2</v>
      </c>
      <c r="AX25">
        <v>80891602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f>ROUND(Y25*Source!I86*DO25,9)</f>
        <v>0</v>
      </c>
      <c r="CX25">
        <f>ROUND(Y25*Source!I86,9)</f>
        <v>746.67297599999995</v>
      </c>
      <c r="CY25">
        <f>AB25</f>
        <v>1783.28</v>
      </c>
      <c r="CZ25">
        <f>AF25</f>
        <v>1783.28</v>
      </c>
      <c r="DA25">
        <f>AJ25</f>
        <v>1</v>
      </c>
      <c r="DB25">
        <f>ROUND((ROUND(AT25*CZ25,2)*14),6)</f>
        <v>10485.719999999999</v>
      </c>
      <c r="DC25">
        <f>ROUND((ROUND(AT25*AG25,2)*14),6)</f>
        <v>4956.1400000000003</v>
      </c>
      <c r="DD25" t="s">
        <v>3</v>
      </c>
      <c r="DE25" t="s">
        <v>3</v>
      </c>
      <c r="DF25">
        <f t="shared" si="0"/>
        <v>0</v>
      </c>
      <c r="DG25">
        <f t="shared" si="1"/>
        <v>1331526.98</v>
      </c>
      <c r="DH25">
        <f t="shared" si="2"/>
        <v>629348.25</v>
      </c>
      <c r="DI25">
        <f t="shared" si="3"/>
        <v>0</v>
      </c>
      <c r="DJ25">
        <f>DG25</f>
        <v>1331526.98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ROW(Source!A86)</f>
        <v>86</v>
      </c>
      <c r="B26">
        <v>80891185</v>
      </c>
      <c r="C26">
        <v>80891451</v>
      </c>
      <c r="D26">
        <v>80215470</v>
      </c>
      <c r="E26">
        <v>1</v>
      </c>
      <c r="F26">
        <v>1</v>
      </c>
      <c r="G26">
        <v>15514512</v>
      </c>
      <c r="H26">
        <v>3</v>
      </c>
      <c r="I26" t="s">
        <v>37</v>
      </c>
      <c r="J26" t="s">
        <v>40</v>
      </c>
      <c r="K26" t="s">
        <v>38</v>
      </c>
      <c r="L26">
        <v>1339</v>
      </c>
      <c r="N26">
        <v>1007</v>
      </c>
      <c r="O26" t="s">
        <v>39</v>
      </c>
      <c r="P26" t="s">
        <v>39</v>
      </c>
      <c r="Q26">
        <v>1</v>
      </c>
      <c r="W26">
        <v>1</v>
      </c>
      <c r="X26">
        <v>2112060389</v>
      </c>
      <c r="Y26">
        <f>(AT26*14)</f>
        <v>-4.8999999999999995</v>
      </c>
      <c r="AA26">
        <v>54.81</v>
      </c>
      <c r="AB26">
        <v>0</v>
      </c>
      <c r="AC26">
        <v>0</v>
      </c>
      <c r="AD26">
        <v>0</v>
      </c>
      <c r="AE26">
        <v>54.81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-0.35</v>
      </c>
      <c r="AU26" t="s">
        <v>156</v>
      </c>
      <c r="AV26">
        <v>0</v>
      </c>
      <c r="AW26">
        <v>2</v>
      </c>
      <c r="AX26">
        <v>80891603</v>
      </c>
      <c r="AY26">
        <v>1</v>
      </c>
      <c r="AZ26">
        <v>6144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ROUND(Y26*Source!I86,9)</f>
        <v>-622.22748000000001</v>
      </c>
      <c r="CY26">
        <f>AA26</f>
        <v>54.81</v>
      </c>
      <c r="CZ26">
        <f>AE26</f>
        <v>54.81</v>
      </c>
      <c r="DA26">
        <f>AI26</f>
        <v>1</v>
      </c>
      <c r="DB26">
        <f>ROUND((ROUND(AT26*CZ26,2)*14),6)</f>
        <v>-268.52</v>
      </c>
      <c r="DC26">
        <f>ROUND((ROUND(AT26*AG26,2)*14),6)</f>
        <v>0</v>
      </c>
      <c r="DD26" t="s">
        <v>3</v>
      </c>
      <c r="DE26" t="s">
        <v>3</v>
      </c>
      <c r="DF26">
        <f t="shared" si="0"/>
        <v>-34104.29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DF26</f>
        <v>-34104.29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ROW(Source!A88)</f>
        <v>88</v>
      </c>
      <c r="B27">
        <v>80891185</v>
      </c>
      <c r="C27">
        <v>80891453</v>
      </c>
      <c r="D27">
        <v>80199986</v>
      </c>
      <c r="E27">
        <v>15514512</v>
      </c>
      <c r="F27">
        <v>1</v>
      </c>
      <c r="G27">
        <v>15514512</v>
      </c>
      <c r="H27">
        <v>1</v>
      </c>
      <c r="I27" t="s">
        <v>260</v>
      </c>
      <c r="J27" t="s">
        <v>3</v>
      </c>
      <c r="K27" t="s">
        <v>261</v>
      </c>
      <c r="L27">
        <v>1191</v>
      </c>
      <c r="N27">
        <v>1013</v>
      </c>
      <c r="O27" t="s">
        <v>262</v>
      </c>
      <c r="P27" t="s">
        <v>262</v>
      </c>
      <c r="Q27">
        <v>1</v>
      </c>
      <c r="W27">
        <v>0</v>
      </c>
      <c r="X27">
        <v>476480486</v>
      </c>
      <c r="Y27">
        <f>(AT27*19)</f>
        <v>99.75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5.25</v>
      </c>
      <c r="AU27" t="s">
        <v>162</v>
      </c>
      <c r="AV27">
        <v>1</v>
      </c>
      <c r="AW27">
        <v>2</v>
      </c>
      <c r="AX27">
        <v>80891609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ROUND(AT27*Source!I88*AH27*AL27,2)</f>
        <v>0</v>
      </c>
      <c r="CV27">
        <f>ROUND(Y27*Source!I88,9)</f>
        <v>82.3536</v>
      </c>
      <c r="CW27">
        <v>0</v>
      </c>
      <c r="CX27">
        <f>ROUND(Y27*Source!I88,9)</f>
        <v>82.3536</v>
      </c>
      <c r="CY27">
        <f>AD27</f>
        <v>0</v>
      </c>
      <c r="CZ27">
        <f>AH27</f>
        <v>0</v>
      </c>
      <c r="DA27">
        <f>AL27</f>
        <v>1</v>
      </c>
      <c r="DB27">
        <f>ROUND((ROUND(AT27*CZ27,2)*19),6)</f>
        <v>0</v>
      </c>
      <c r="DC27">
        <f>ROUND((ROUND(AT27*AG27,2)*19),6)</f>
        <v>0</v>
      </c>
      <c r="DD27" t="s">
        <v>3</v>
      </c>
      <c r="DE27" t="s">
        <v>3</v>
      </c>
      <c r="DF27">
        <f t="shared" si="0"/>
        <v>0</v>
      </c>
      <c r="DG27">
        <f t="shared" si="1"/>
        <v>0</v>
      </c>
      <c r="DH27">
        <f t="shared" si="2"/>
        <v>0</v>
      </c>
      <c r="DI27">
        <f t="shared" si="3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ROW(Source!A88)</f>
        <v>88</v>
      </c>
      <c r="B28">
        <v>80891185</v>
      </c>
      <c r="C28">
        <v>80891453</v>
      </c>
      <c r="D28">
        <v>80215377</v>
      </c>
      <c r="E28">
        <v>1</v>
      </c>
      <c r="F28">
        <v>1</v>
      </c>
      <c r="G28">
        <v>15514512</v>
      </c>
      <c r="H28">
        <v>3</v>
      </c>
      <c r="I28" t="s">
        <v>279</v>
      </c>
      <c r="J28" t="s">
        <v>280</v>
      </c>
      <c r="K28" t="s">
        <v>281</v>
      </c>
      <c r="L28">
        <v>1346</v>
      </c>
      <c r="N28">
        <v>1009</v>
      </c>
      <c r="O28" t="s">
        <v>215</v>
      </c>
      <c r="P28" t="s">
        <v>215</v>
      </c>
      <c r="Q28">
        <v>1</v>
      </c>
      <c r="W28">
        <v>0</v>
      </c>
      <c r="X28">
        <v>1035813304</v>
      </c>
      <c r="Y28">
        <f>(AT28*19)</f>
        <v>0.56999999999999995</v>
      </c>
      <c r="AA28">
        <v>46.9</v>
      </c>
      <c r="AB28">
        <v>0</v>
      </c>
      <c r="AC28">
        <v>0</v>
      </c>
      <c r="AD28">
        <v>0</v>
      </c>
      <c r="AE28">
        <v>46.9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0.03</v>
      </c>
      <c r="AU28" t="s">
        <v>162</v>
      </c>
      <c r="AV28">
        <v>0</v>
      </c>
      <c r="AW28">
        <v>2</v>
      </c>
      <c r="AX28">
        <v>80891610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ROUND(Y28*Source!I88,9)</f>
        <v>0.47059200000000001</v>
      </c>
      <c r="CY28">
        <f>AA28</f>
        <v>46.9</v>
      </c>
      <c r="CZ28">
        <f>AE28</f>
        <v>46.9</v>
      </c>
      <c r="DA28">
        <f>AI28</f>
        <v>1</v>
      </c>
      <c r="DB28">
        <f>ROUND((ROUND(AT28*CZ28,2)*19),6)</f>
        <v>26.79</v>
      </c>
      <c r="DC28">
        <f>ROUND((ROUND(AT28*AG28,2)*19),6)</f>
        <v>0</v>
      </c>
      <c r="DD28" t="s">
        <v>3</v>
      </c>
      <c r="DE28" t="s">
        <v>3</v>
      </c>
      <c r="DF28">
        <f t="shared" si="0"/>
        <v>22.07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22.07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ROW(Source!A88)</f>
        <v>88</v>
      </c>
      <c r="B29">
        <v>80891185</v>
      </c>
      <c r="C29">
        <v>80891453</v>
      </c>
      <c r="D29">
        <v>80215470</v>
      </c>
      <c r="E29">
        <v>1</v>
      </c>
      <c r="F29">
        <v>1</v>
      </c>
      <c r="G29">
        <v>15514512</v>
      </c>
      <c r="H29">
        <v>3</v>
      </c>
      <c r="I29" t="s">
        <v>37</v>
      </c>
      <c r="J29" t="s">
        <v>40</v>
      </c>
      <c r="K29" t="s">
        <v>38</v>
      </c>
      <c r="L29">
        <v>1339</v>
      </c>
      <c r="N29">
        <v>1007</v>
      </c>
      <c r="O29" t="s">
        <v>39</v>
      </c>
      <c r="P29" t="s">
        <v>39</v>
      </c>
      <c r="Q29">
        <v>1</v>
      </c>
      <c r="W29">
        <v>1</v>
      </c>
      <c r="X29">
        <v>2112060389</v>
      </c>
      <c r="Y29">
        <f>(AT29*19)</f>
        <v>-0.19</v>
      </c>
      <c r="AA29">
        <v>54.81</v>
      </c>
      <c r="AB29">
        <v>0</v>
      </c>
      <c r="AC29">
        <v>0</v>
      </c>
      <c r="AD29">
        <v>0</v>
      </c>
      <c r="AE29">
        <v>54.81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-0.01</v>
      </c>
      <c r="AU29" t="s">
        <v>162</v>
      </c>
      <c r="AV29">
        <v>0</v>
      </c>
      <c r="AW29">
        <v>2</v>
      </c>
      <c r="AX29">
        <v>80891611</v>
      </c>
      <c r="AY29">
        <v>1</v>
      </c>
      <c r="AZ29">
        <v>6144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ROUND(Y29*Source!I88,9)</f>
        <v>-0.156864</v>
      </c>
      <c r="CY29">
        <f>AA29</f>
        <v>54.81</v>
      </c>
      <c r="CZ29">
        <f>AE29</f>
        <v>54.81</v>
      </c>
      <c r="DA29">
        <f>AI29</f>
        <v>1</v>
      </c>
      <c r="DB29">
        <f>ROUND((ROUND(AT29*CZ29,2)*19),6)</f>
        <v>-10.45</v>
      </c>
      <c r="DC29">
        <f>ROUND((ROUND(AT29*AG29,2)*19),6)</f>
        <v>0</v>
      </c>
      <c r="DD29" t="s">
        <v>3</v>
      </c>
      <c r="DE29" t="s">
        <v>3</v>
      </c>
      <c r="DF29">
        <f t="shared" si="0"/>
        <v>-8.6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DF29</f>
        <v>-8.6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ROW(Source!A90)</f>
        <v>90</v>
      </c>
      <c r="B30">
        <v>80891185</v>
      </c>
      <c r="C30">
        <v>80891455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260</v>
      </c>
      <c r="J30" t="s">
        <v>3</v>
      </c>
      <c r="K30" t="s">
        <v>261</v>
      </c>
      <c r="L30">
        <v>1191</v>
      </c>
      <c r="N30">
        <v>1013</v>
      </c>
      <c r="O30" t="s">
        <v>262</v>
      </c>
      <c r="P30" t="s">
        <v>262</v>
      </c>
      <c r="Q30">
        <v>1</v>
      </c>
      <c r="W30">
        <v>0</v>
      </c>
      <c r="X30">
        <v>476480486</v>
      </c>
      <c r="Y30">
        <f>(AT30*186)</f>
        <v>448.26000000000005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2.41</v>
      </c>
      <c r="AU30" t="s">
        <v>165</v>
      </c>
      <c r="AV30">
        <v>1</v>
      </c>
      <c r="AW30">
        <v>2</v>
      </c>
      <c r="AX30">
        <v>80891617</v>
      </c>
      <c r="AY30">
        <v>1</v>
      </c>
      <c r="AZ30">
        <v>2048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ROUND(AT30*Source!I90*AH30*AL30,2)</f>
        <v>0</v>
      </c>
      <c r="CV30">
        <f>ROUND(Y30*Source!I90,9)</f>
        <v>224.13</v>
      </c>
      <c r="CW30">
        <v>0</v>
      </c>
      <c r="CX30">
        <f>ROUND(Y30*Source!I90,9)</f>
        <v>224.13</v>
      </c>
      <c r="CY30">
        <f>AD30</f>
        <v>0</v>
      </c>
      <c r="CZ30">
        <f>AH30</f>
        <v>0</v>
      </c>
      <c r="DA30">
        <f>AL30</f>
        <v>1</v>
      </c>
      <c r="DB30">
        <f>ROUND((ROUND(AT30*CZ30,2)*186),6)</f>
        <v>0</v>
      </c>
      <c r="DC30">
        <f>ROUND((ROUND(AT30*AG30,2)*186),6)</f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DI30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ROW(Source!A90)</f>
        <v>90</v>
      </c>
      <c r="B31">
        <v>80891185</v>
      </c>
      <c r="C31">
        <v>80891455</v>
      </c>
      <c r="D31">
        <v>80215860</v>
      </c>
      <c r="E31">
        <v>1</v>
      </c>
      <c r="F31">
        <v>1</v>
      </c>
      <c r="G31">
        <v>15514512</v>
      </c>
      <c r="H31">
        <v>3</v>
      </c>
      <c r="I31" t="s">
        <v>275</v>
      </c>
      <c r="J31" t="s">
        <v>276</v>
      </c>
      <c r="K31" t="s">
        <v>277</v>
      </c>
      <c r="L31">
        <v>1354</v>
      </c>
      <c r="N31">
        <v>1010</v>
      </c>
      <c r="O31" t="s">
        <v>278</v>
      </c>
      <c r="P31" t="s">
        <v>278</v>
      </c>
      <c r="Q31">
        <v>1</v>
      </c>
      <c r="W31">
        <v>0</v>
      </c>
      <c r="X31">
        <v>-1952007382</v>
      </c>
      <c r="Y31">
        <f>(AT31*186)</f>
        <v>18600</v>
      </c>
      <c r="AA31">
        <v>2.75</v>
      </c>
      <c r="AB31">
        <v>0</v>
      </c>
      <c r="AC31">
        <v>0</v>
      </c>
      <c r="AD31">
        <v>0</v>
      </c>
      <c r="AE31">
        <v>2.75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100</v>
      </c>
      <c r="AU31" t="s">
        <v>165</v>
      </c>
      <c r="AV31">
        <v>0</v>
      </c>
      <c r="AW31">
        <v>2</v>
      </c>
      <c r="AX31">
        <v>80891618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ROUND(Y31*Source!I90,9)</f>
        <v>9300</v>
      </c>
      <c r="CY31">
        <f>AA31</f>
        <v>2.75</v>
      </c>
      <c r="CZ31">
        <f>AE31</f>
        <v>2.75</v>
      </c>
      <c r="DA31">
        <f>AI31</f>
        <v>1</v>
      </c>
      <c r="DB31">
        <f>ROUND((ROUND(AT31*CZ31,2)*186),6)</f>
        <v>51150</v>
      </c>
      <c r="DC31">
        <f>ROUND((ROUND(AT31*AG31,2)*186),6)</f>
        <v>0</v>
      </c>
      <c r="DD31" t="s">
        <v>3</v>
      </c>
      <c r="DE31" t="s">
        <v>3</v>
      </c>
      <c r="DF31">
        <f t="shared" si="0"/>
        <v>25575</v>
      </c>
      <c r="DG31">
        <f t="shared" si="1"/>
        <v>0</v>
      </c>
      <c r="DH31">
        <f t="shared" si="2"/>
        <v>0</v>
      </c>
      <c r="DI31">
        <f t="shared" si="3"/>
        <v>0</v>
      </c>
      <c r="DJ31">
        <f>DF31</f>
        <v>25575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ROW(Source!A91)</f>
        <v>91</v>
      </c>
      <c r="B32">
        <v>80891185</v>
      </c>
      <c r="C32">
        <v>80891456</v>
      </c>
      <c r="D32">
        <v>80199986</v>
      </c>
      <c r="E32">
        <v>15514512</v>
      </c>
      <c r="F32">
        <v>1</v>
      </c>
      <c r="G32">
        <v>15514512</v>
      </c>
      <c r="H32">
        <v>1</v>
      </c>
      <c r="I32" t="s">
        <v>260</v>
      </c>
      <c r="J32" t="s">
        <v>3</v>
      </c>
      <c r="K32" t="s">
        <v>261</v>
      </c>
      <c r="L32">
        <v>1191</v>
      </c>
      <c r="N32">
        <v>1013</v>
      </c>
      <c r="O32" t="s">
        <v>262</v>
      </c>
      <c r="P32" t="s">
        <v>262</v>
      </c>
      <c r="Q32">
        <v>1</v>
      </c>
      <c r="W32">
        <v>0</v>
      </c>
      <c r="X32">
        <v>476480486</v>
      </c>
      <c r="Y32">
        <f>(AT32*13)</f>
        <v>165.75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12.75</v>
      </c>
      <c r="AU32" t="s">
        <v>170</v>
      </c>
      <c r="AV32">
        <v>1</v>
      </c>
      <c r="AW32">
        <v>2</v>
      </c>
      <c r="AX32">
        <v>80892308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ROUND(AT32*Source!I91*AH32*AL32,2)</f>
        <v>0</v>
      </c>
      <c r="CV32">
        <f>ROUND(Y32*Source!I91,9)</f>
        <v>82.875</v>
      </c>
      <c r="CW32">
        <v>0</v>
      </c>
      <c r="CX32">
        <f>ROUND(Y32*Source!I91,9)</f>
        <v>82.875</v>
      </c>
      <c r="CY32">
        <f>AD32</f>
        <v>0</v>
      </c>
      <c r="CZ32">
        <f>AH32</f>
        <v>0</v>
      </c>
      <c r="DA32">
        <f>AL32</f>
        <v>1</v>
      </c>
      <c r="DB32">
        <f>ROUND((ROUND(AT32*CZ32,2)*13),6)</f>
        <v>0</v>
      </c>
      <c r="DC32">
        <f>ROUND((ROUND(AT32*AG32,2)*13),6)</f>
        <v>0</v>
      </c>
      <c r="DD32" t="s">
        <v>3</v>
      </c>
      <c r="DE32" t="s">
        <v>3</v>
      </c>
      <c r="DF32">
        <f t="shared" si="0"/>
        <v>0</v>
      </c>
      <c r="DG32">
        <f t="shared" si="1"/>
        <v>0</v>
      </c>
      <c r="DH32">
        <f t="shared" si="2"/>
        <v>0</v>
      </c>
      <c r="DI32">
        <f t="shared" si="3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ROW(Source!A91)</f>
        <v>91</v>
      </c>
      <c r="B33">
        <v>80891185</v>
      </c>
      <c r="C33">
        <v>80891456</v>
      </c>
      <c r="D33">
        <v>80215393</v>
      </c>
      <c r="E33">
        <v>1</v>
      </c>
      <c r="F33">
        <v>1</v>
      </c>
      <c r="G33">
        <v>15514512</v>
      </c>
      <c r="H33">
        <v>3</v>
      </c>
      <c r="I33" t="s">
        <v>282</v>
      </c>
      <c r="J33" t="s">
        <v>283</v>
      </c>
      <c r="K33" t="s">
        <v>284</v>
      </c>
      <c r="L33">
        <v>1296</v>
      </c>
      <c r="N33">
        <v>1002</v>
      </c>
      <c r="O33" t="s">
        <v>239</v>
      </c>
      <c r="P33" t="s">
        <v>239</v>
      </c>
      <c r="Q33">
        <v>1</v>
      </c>
      <c r="W33">
        <v>0</v>
      </c>
      <c r="X33">
        <v>-2014656141</v>
      </c>
      <c r="Y33">
        <f>(AT33*13)</f>
        <v>97.5</v>
      </c>
      <c r="AA33">
        <v>710.73</v>
      </c>
      <c r="AB33">
        <v>0</v>
      </c>
      <c r="AC33">
        <v>0</v>
      </c>
      <c r="AD33">
        <v>0</v>
      </c>
      <c r="AE33">
        <v>710.73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7.5</v>
      </c>
      <c r="AU33" t="s">
        <v>170</v>
      </c>
      <c r="AV33">
        <v>0</v>
      </c>
      <c r="AW33">
        <v>2</v>
      </c>
      <c r="AX33">
        <v>80892309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ROUND(Y33*Source!I91,9)</f>
        <v>48.75</v>
      </c>
      <c r="CY33">
        <f>AA33</f>
        <v>710.73</v>
      </c>
      <c r="CZ33">
        <f>AE33</f>
        <v>710.73</v>
      </c>
      <c r="DA33">
        <f>AI33</f>
        <v>1</v>
      </c>
      <c r="DB33">
        <f>ROUND((ROUND(AT33*CZ33,2)*13),6)</f>
        <v>69296.240000000005</v>
      </c>
      <c r="DC33">
        <f>ROUND((ROUND(AT33*AG33,2)*13),6)</f>
        <v>0</v>
      </c>
      <c r="DD33" t="s">
        <v>3</v>
      </c>
      <c r="DE33" t="s">
        <v>3</v>
      </c>
      <c r="DF33">
        <f t="shared" ref="DF33:DF64" si="4">ROUND(ROUND(AE33,2)*CX33,2)</f>
        <v>34648.089999999997</v>
      </c>
      <c r="DG33">
        <f t="shared" ref="DG33:DG64" si="5">ROUND(ROUND(AF33,2)*CX33,2)</f>
        <v>0</v>
      </c>
      <c r="DH33">
        <f t="shared" ref="DH33:DH64" si="6">ROUND(ROUND(AG33,2)*CX33,2)</f>
        <v>0</v>
      </c>
      <c r="DI33">
        <f t="shared" ref="DI33:DI64" si="7">ROUND(ROUND(AH33,2)*CX33,2)</f>
        <v>0</v>
      </c>
      <c r="DJ33">
        <f>DF33</f>
        <v>34648.089999999997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ROW(Source!A91)</f>
        <v>91</v>
      </c>
      <c r="B34">
        <v>80891185</v>
      </c>
      <c r="C34">
        <v>80891456</v>
      </c>
      <c r="D34">
        <v>80215470</v>
      </c>
      <c r="E34">
        <v>1</v>
      </c>
      <c r="F34">
        <v>1</v>
      </c>
      <c r="G34">
        <v>15514512</v>
      </c>
      <c r="H34">
        <v>3</v>
      </c>
      <c r="I34" t="s">
        <v>37</v>
      </c>
      <c r="J34" t="s">
        <v>40</v>
      </c>
      <c r="K34" t="s">
        <v>38</v>
      </c>
      <c r="L34">
        <v>1339</v>
      </c>
      <c r="N34">
        <v>1007</v>
      </c>
      <c r="O34" t="s">
        <v>39</v>
      </c>
      <c r="P34" t="s">
        <v>39</v>
      </c>
      <c r="Q34">
        <v>1</v>
      </c>
      <c r="W34">
        <v>0</v>
      </c>
      <c r="X34">
        <v>2112060389</v>
      </c>
      <c r="Y34">
        <f>(AT34*13)</f>
        <v>19.5</v>
      </c>
      <c r="AA34">
        <v>54.81</v>
      </c>
      <c r="AB34">
        <v>0</v>
      </c>
      <c r="AC34">
        <v>0</v>
      </c>
      <c r="AD34">
        <v>0</v>
      </c>
      <c r="AE34">
        <v>54.81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1.5</v>
      </c>
      <c r="AU34" t="s">
        <v>170</v>
      </c>
      <c r="AV34">
        <v>0</v>
      </c>
      <c r="AW34">
        <v>2</v>
      </c>
      <c r="AX34">
        <v>80892310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ROUND(Y34*Source!I91,9)</f>
        <v>9.75</v>
      </c>
      <c r="CY34">
        <f>AA34</f>
        <v>54.81</v>
      </c>
      <c r="CZ34">
        <f>AE34</f>
        <v>54.81</v>
      </c>
      <c r="DA34">
        <f>AI34</f>
        <v>1</v>
      </c>
      <c r="DB34">
        <f>ROUND((ROUND(AT34*CZ34,2)*13),6)</f>
        <v>1068.8599999999999</v>
      </c>
      <c r="DC34">
        <f>ROUND((ROUND(AT34*AG34,2)*13),6)</f>
        <v>0</v>
      </c>
      <c r="DD34" t="s">
        <v>3</v>
      </c>
      <c r="DE34" t="s">
        <v>3</v>
      </c>
      <c r="DF34">
        <f t="shared" si="4"/>
        <v>534.4</v>
      </c>
      <c r="DG34">
        <f t="shared" si="5"/>
        <v>0</v>
      </c>
      <c r="DH34">
        <f t="shared" si="6"/>
        <v>0</v>
      </c>
      <c r="DI34">
        <f t="shared" si="7"/>
        <v>0</v>
      </c>
      <c r="DJ34">
        <f>DF34</f>
        <v>534.4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ROW(Source!A91)</f>
        <v>91</v>
      </c>
      <c r="B35">
        <v>80891185</v>
      </c>
      <c r="C35">
        <v>80891456</v>
      </c>
      <c r="D35">
        <v>80215860</v>
      </c>
      <c r="E35">
        <v>1</v>
      </c>
      <c r="F35">
        <v>1</v>
      </c>
      <c r="G35">
        <v>15514512</v>
      </c>
      <c r="H35">
        <v>3</v>
      </c>
      <c r="I35" t="s">
        <v>275</v>
      </c>
      <c r="J35" t="s">
        <v>276</v>
      </c>
      <c r="K35" t="s">
        <v>277</v>
      </c>
      <c r="L35">
        <v>1354</v>
      </c>
      <c r="N35">
        <v>1010</v>
      </c>
      <c r="O35" t="s">
        <v>278</v>
      </c>
      <c r="P35" t="s">
        <v>278</v>
      </c>
      <c r="Q35">
        <v>1</v>
      </c>
      <c r="W35">
        <v>0</v>
      </c>
      <c r="X35">
        <v>-1952007382</v>
      </c>
      <c r="Y35">
        <f>(AT35*13)</f>
        <v>1300</v>
      </c>
      <c r="AA35">
        <v>2.75</v>
      </c>
      <c r="AB35">
        <v>0</v>
      </c>
      <c r="AC35">
        <v>0</v>
      </c>
      <c r="AD35">
        <v>0</v>
      </c>
      <c r="AE35">
        <v>2.75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100</v>
      </c>
      <c r="AU35" t="s">
        <v>170</v>
      </c>
      <c r="AV35">
        <v>0</v>
      </c>
      <c r="AW35">
        <v>2</v>
      </c>
      <c r="AX35">
        <v>80892311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ROUND(Y35*Source!I91,9)</f>
        <v>650</v>
      </c>
      <c r="CY35">
        <f>AA35</f>
        <v>2.75</v>
      </c>
      <c r="CZ35">
        <f>AE35</f>
        <v>2.75</v>
      </c>
      <c r="DA35">
        <f>AI35</f>
        <v>1</v>
      </c>
      <c r="DB35">
        <f>ROUND((ROUND(AT35*CZ35,2)*13),6)</f>
        <v>3575</v>
      </c>
      <c r="DC35">
        <f>ROUND((ROUND(AT35*AG35,2)*13),6)</f>
        <v>0</v>
      </c>
      <c r="DD35" t="s">
        <v>3</v>
      </c>
      <c r="DE35" t="s">
        <v>3</v>
      </c>
      <c r="DF35">
        <f t="shared" si="4"/>
        <v>1787.5</v>
      </c>
      <c r="DG35">
        <f t="shared" si="5"/>
        <v>0</v>
      </c>
      <c r="DH35">
        <f t="shared" si="6"/>
        <v>0</v>
      </c>
      <c r="DI35">
        <f t="shared" si="7"/>
        <v>0</v>
      </c>
      <c r="DJ35">
        <f>DF35</f>
        <v>1787.5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ROW(Source!A92)</f>
        <v>92</v>
      </c>
      <c r="B36">
        <v>80891185</v>
      </c>
      <c r="C36">
        <v>80891457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260</v>
      </c>
      <c r="J36" t="s">
        <v>3</v>
      </c>
      <c r="K36" t="s">
        <v>261</v>
      </c>
      <c r="L36">
        <v>1191</v>
      </c>
      <c r="N36">
        <v>1013</v>
      </c>
      <c r="O36" t="s">
        <v>262</v>
      </c>
      <c r="P36" t="s">
        <v>262</v>
      </c>
      <c r="Q36">
        <v>1</v>
      </c>
      <c r="W36">
        <v>0</v>
      </c>
      <c r="X36">
        <v>476480486</v>
      </c>
      <c r="Y36">
        <f>(AT36*199)</f>
        <v>59.699999999999996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0.3</v>
      </c>
      <c r="AU36" t="s">
        <v>176</v>
      </c>
      <c r="AV36">
        <v>1</v>
      </c>
      <c r="AW36">
        <v>2</v>
      </c>
      <c r="AX36">
        <v>80891623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ROUND(AT36*Source!I92*AH36*AL36,2)</f>
        <v>0</v>
      </c>
      <c r="CV36">
        <f>ROUND(Y36*Source!I92,9)</f>
        <v>179.1</v>
      </c>
      <c r="CW36">
        <v>0</v>
      </c>
      <c r="CX36">
        <f>ROUND(Y36*Source!I92,9)</f>
        <v>179.1</v>
      </c>
      <c r="CY36">
        <f>AD36</f>
        <v>0</v>
      </c>
      <c r="CZ36">
        <f>AH36</f>
        <v>0</v>
      </c>
      <c r="DA36">
        <f>AL36</f>
        <v>1</v>
      </c>
      <c r="DB36">
        <f>ROUND((ROUND(AT36*CZ36,2)*199),6)</f>
        <v>0</v>
      </c>
      <c r="DC36">
        <f>ROUND((ROUND(AT36*AG36,2)*199),6)</f>
        <v>0</v>
      </c>
      <c r="DD36" t="s">
        <v>3</v>
      </c>
      <c r="DE36" t="s">
        <v>3</v>
      </c>
      <c r="DF36">
        <f t="shared" si="4"/>
        <v>0</v>
      </c>
      <c r="DG36">
        <f t="shared" si="5"/>
        <v>0</v>
      </c>
      <c r="DH36">
        <f t="shared" si="6"/>
        <v>0</v>
      </c>
      <c r="DI36">
        <f t="shared" si="7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ROW(Source!A93)</f>
        <v>93</v>
      </c>
      <c r="B37">
        <v>80891185</v>
      </c>
      <c r="C37">
        <v>80891458</v>
      </c>
      <c r="D37">
        <v>80199986</v>
      </c>
      <c r="E37">
        <v>15514512</v>
      </c>
      <c r="F37">
        <v>1</v>
      </c>
      <c r="G37">
        <v>15514512</v>
      </c>
      <c r="H37">
        <v>1</v>
      </c>
      <c r="I37" t="s">
        <v>260</v>
      </c>
      <c r="J37" t="s">
        <v>3</v>
      </c>
      <c r="K37" t="s">
        <v>261</v>
      </c>
      <c r="L37">
        <v>1191</v>
      </c>
      <c r="N37">
        <v>1013</v>
      </c>
      <c r="O37" t="s">
        <v>262</v>
      </c>
      <c r="P37" t="s">
        <v>262</v>
      </c>
      <c r="Q37">
        <v>1</v>
      </c>
      <c r="W37">
        <v>0</v>
      </c>
      <c r="X37">
        <v>476480486</v>
      </c>
      <c r="Y37">
        <f t="shared" ref="Y37:Y46" si="8">(AT37*2)</f>
        <v>2.52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1.26</v>
      </c>
      <c r="AU37" t="s">
        <v>181</v>
      </c>
      <c r="AV37">
        <v>1</v>
      </c>
      <c r="AW37">
        <v>2</v>
      </c>
      <c r="AX37">
        <v>80891624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ROUND(AT37*Source!I93*AH37*AL37,2)</f>
        <v>0</v>
      </c>
      <c r="CV37">
        <f>ROUND(Y37*Source!I93,9)</f>
        <v>65.741759999999999</v>
      </c>
      <c r="CW37">
        <v>0</v>
      </c>
      <c r="CX37">
        <f>ROUND(Y37*Source!I93,9)</f>
        <v>65.741759999999999</v>
      </c>
      <c r="CY37">
        <f>AD37</f>
        <v>0</v>
      </c>
      <c r="CZ37">
        <f>AH37</f>
        <v>0</v>
      </c>
      <c r="DA37">
        <f>AL37</f>
        <v>1</v>
      </c>
      <c r="DB37">
        <f t="shared" ref="DB37:DB46" si="9">ROUND((ROUND(AT37*CZ37,2)*2),6)</f>
        <v>0</v>
      </c>
      <c r="DC37">
        <f t="shared" ref="DC37:DC46" si="10">ROUND((ROUND(AT37*AG37,2)*2),6)</f>
        <v>0</v>
      </c>
      <c r="DD37" t="s">
        <v>3</v>
      </c>
      <c r="DE37" t="s">
        <v>3</v>
      </c>
      <c r="DF37">
        <f t="shared" si="4"/>
        <v>0</v>
      </c>
      <c r="DG37">
        <f t="shared" si="5"/>
        <v>0</v>
      </c>
      <c r="DH37">
        <f t="shared" si="6"/>
        <v>0</v>
      </c>
      <c r="DI37">
        <f t="shared" si="7"/>
        <v>0</v>
      </c>
      <c r="DJ37">
        <f>DI37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5">
      <c r="A38">
        <f>ROW(Source!A93)</f>
        <v>93</v>
      </c>
      <c r="B38">
        <v>80891185</v>
      </c>
      <c r="C38">
        <v>80891458</v>
      </c>
      <c r="D38">
        <v>80212965</v>
      </c>
      <c r="E38">
        <v>1</v>
      </c>
      <c r="F38">
        <v>1</v>
      </c>
      <c r="G38">
        <v>15514512</v>
      </c>
      <c r="H38">
        <v>2</v>
      </c>
      <c r="I38" t="s">
        <v>285</v>
      </c>
      <c r="J38" t="s">
        <v>286</v>
      </c>
      <c r="K38" t="s">
        <v>287</v>
      </c>
      <c r="L38">
        <v>1368</v>
      </c>
      <c r="N38">
        <v>1011</v>
      </c>
      <c r="O38" t="s">
        <v>259</v>
      </c>
      <c r="P38" t="s">
        <v>259</v>
      </c>
      <c r="Q38">
        <v>1</v>
      </c>
      <c r="W38">
        <v>0</v>
      </c>
      <c r="X38">
        <v>1866108989</v>
      </c>
      <c r="Y38">
        <f t="shared" si="8"/>
        <v>1.8</v>
      </c>
      <c r="AA38">
        <v>0</v>
      </c>
      <c r="AB38">
        <v>1165.03</v>
      </c>
      <c r="AC38">
        <v>351.43</v>
      </c>
      <c r="AD38">
        <v>0</v>
      </c>
      <c r="AE38">
        <v>0</v>
      </c>
      <c r="AF38">
        <v>1165.03</v>
      </c>
      <c r="AG38">
        <v>351.43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0.9</v>
      </c>
      <c r="AU38" t="s">
        <v>181</v>
      </c>
      <c r="AV38">
        <v>0</v>
      </c>
      <c r="AW38">
        <v>2</v>
      </c>
      <c r="AX38">
        <v>80891625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f>ROUND(Y38*Source!I93*DO38,9)</f>
        <v>0</v>
      </c>
      <c r="CX38">
        <f>ROUND(Y38*Source!I93,9)</f>
        <v>46.958399999999997</v>
      </c>
      <c r="CY38">
        <f>AB38</f>
        <v>1165.03</v>
      </c>
      <c r="CZ38">
        <f>AF38</f>
        <v>1165.03</v>
      </c>
      <c r="DA38">
        <f>AJ38</f>
        <v>1</v>
      </c>
      <c r="DB38">
        <f t="shared" si="9"/>
        <v>2097.06</v>
      </c>
      <c r="DC38">
        <f t="shared" si="10"/>
        <v>632.58000000000004</v>
      </c>
      <c r="DD38" t="s">
        <v>3</v>
      </c>
      <c r="DE38" t="s">
        <v>3</v>
      </c>
      <c r="DF38">
        <f t="shared" si="4"/>
        <v>0</v>
      </c>
      <c r="DG38">
        <f t="shared" si="5"/>
        <v>54707.94</v>
      </c>
      <c r="DH38">
        <f t="shared" si="6"/>
        <v>16502.59</v>
      </c>
      <c r="DI38">
        <f t="shared" si="7"/>
        <v>0</v>
      </c>
      <c r="DJ38">
        <f>DG38</f>
        <v>54707.94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5">
      <c r="A39">
        <f>ROW(Source!A93)</f>
        <v>93</v>
      </c>
      <c r="B39">
        <v>80891185</v>
      </c>
      <c r="C39">
        <v>80891458</v>
      </c>
      <c r="D39">
        <v>80213223</v>
      </c>
      <c r="E39">
        <v>1</v>
      </c>
      <c r="F39">
        <v>1</v>
      </c>
      <c r="G39">
        <v>15514512</v>
      </c>
      <c r="H39">
        <v>2</v>
      </c>
      <c r="I39" t="s">
        <v>288</v>
      </c>
      <c r="J39" t="s">
        <v>289</v>
      </c>
      <c r="K39" t="s">
        <v>290</v>
      </c>
      <c r="L39">
        <v>1368</v>
      </c>
      <c r="N39">
        <v>1011</v>
      </c>
      <c r="O39" t="s">
        <v>259</v>
      </c>
      <c r="P39" t="s">
        <v>259</v>
      </c>
      <c r="Q39">
        <v>1</v>
      </c>
      <c r="W39">
        <v>0</v>
      </c>
      <c r="X39">
        <v>364728059</v>
      </c>
      <c r="Y39">
        <f t="shared" si="8"/>
        <v>1.98</v>
      </c>
      <c r="AA39">
        <v>0</v>
      </c>
      <c r="AB39">
        <v>1877.34</v>
      </c>
      <c r="AC39">
        <v>967.36</v>
      </c>
      <c r="AD39">
        <v>0</v>
      </c>
      <c r="AE39">
        <v>0</v>
      </c>
      <c r="AF39">
        <v>1877.34</v>
      </c>
      <c r="AG39">
        <v>967.36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0.99</v>
      </c>
      <c r="AU39" t="s">
        <v>181</v>
      </c>
      <c r="AV39">
        <v>0</v>
      </c>
      <c r="AW39">
        <v>2</v>
      </c>
      <c r="AX39">
        <v>80891626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ROUND(Y39*Source!I93*DO39,9)</f>
        <v>0</v>
      </c>
      <c r="CX39">
        <f>ROUND(Y39*Source!I93,9)</f>
        <v>51.654240000000001</v>
      </c>
      <c r="CY39">
        <f>AB39</f>
        <v>1877.34</v>
      </c>
      <c r="CZ39">
        <f>AF39</f>
        <v>1877.34</v>
      </c>
      <c r="DA39">
        <f>AJ39</f>
        <v>1</v>
      </c>
      <c r="DB39">
        <f t="shared" si="9"/>
        <v>3717.14</v>
      </c>
      <c r="DC39">
        <f t="shared" si="10"/>
        <v>1915.38</v>
      </c>
      <c r="DD39" t="s">
        <v>3</v>
      </c>
      <c r="DE39" t="s">
        <v>3</v>
      </c>
      <c r="DF39">
        <f t="shared" si="4"/>
        <v>0</v>
      </c>
      <c r="DG39">
        <f t="shared" si="5"/>
        <v>96972.57</v>
      </c>
      <c r="DH39">
        <f t="shared" si="6"/>
        <v>49968.25</v>
      </c>
      <c r="DI39">
        <f t="shared" si="7"/>
        <v>0</v>
      </c>
      <c r="DJ39">
        <f>DG39</f>
        <v>96972.57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5">
      <c r="A40">
        <f>ROW(Source!A93)</f>
        <v>93</v>
      </c>
      <c r="B40">
        <v>80891185</v>
      </c>
      <c r="C40">
        <v>80891458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W40">
        <v>1</v>
      </c>
      <c r="X40">
        <v>2112060389</v>
      </c>
      <c r="Y40">
        <f t="shared" si="8"/>
        <v>-1.6</v>
      </c>
      <c r="AA40">
        <v>54.81</v>
      </c>
      <c r="AB40">
        <v>0</v>
      </c>
      <c r="AC40">
        <v>0</v>
      </c>
      <c r="AD40">
        <v>0</v>
      </c>
      <c r="AE40">
        <v>54.81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-0.8</v>
      </c>
      <c r="AU40" t="s">
        <v>181</v>
      </c>
      <c r="AV40">
        <v>0</v>
      </c>
      <c r="AW40">
        <v>2</v>
      </c>
      <c r="AX40">
        <v>80891627</v>
      </c>
      <c r="AY40">
        <v>1</v>
      </c>
      <c r="AZ40">
        <v>6144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ROUND(Y40*Source!I93,9)</f>
        <v>-41.7408</v>
      </c>
      <c r="CY40">
        <f>AA40</f>
        <v>54.81</v>
      </c>
      <c r="CZ40">
        <f>AE40</f>
        <v>54.81</v>
      </c>
      <c r="DA40">
        <f>AI40</f>
        <v>1</v>
      </c>
      <c r="DB40">
        <f t="shared" si="9"/>
        <v>-87.7</v>
      </c>
      <c r="DC40">
        <f t="shared" si="10"/>
        <v>0</v>
      </c>
      <c r="DD40" t="s">
        <v>3</v>
      </c>
      <c r="DE40" t="s">
        <v>3</v>
      </c>
      <c r="DF40">
        <f t="shared" si="4"/>
        <v>-2287.81</v>
      </c>
      <c r="DG40">
        <f t="shared" si="5"/>
        <v>0</v>
      </c>
      <c r="DH40">
        <f t="shared" si="6"/>
        <v>0</v>
      </c>
      <c r="DI40">
        <f t="shared" si="7"/>
        <v>0</v>
      </c>
      <c r="DJ40">
        <f>DF40</f>
        <v>-2287.81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5">
      <c r="A41">
        <f>ROW(Source!A130)</f>
        <v>130</v>
      </c>
      <c r="B41">
        <v>80891185</v>
      </c>
      <c r="C41">
        <v>80891517</v>
      </c>
      <c r="D41">
        <v>80199986</v>
      </c>
      <c r="E41">
        <v>15514512</v>
      </c>
      <c r="F41">
        <v>1</v>
      </c>
      <c r="G41">
        <v>15514512</v>
      </c>
      <c r="H41">
        <v>1</v>
      </c>
      <c r="I41" t="s">
        <v>260</v>
      </c>
      <c r="J41" t="s">
        <v>3</v>
      </c>
      <c r="K41" t="s">
        <v>261</v>
      </c>
      <c r="L41">
        <v>1191</v>
      </c>
      <c r="N41">
        <v>1013</v>
      </c>
      <c r="O41" t="s">
        <v>262</v>
      </c>
      <c r="P41" t="s">
        <v>262</v>
      </c>
      <c r="Q41">
        <v>1</v>
      </c>
      <c r="W41">
        <v>0</v>
      </c>
      <c r="X41">
        <v>476480486</v>
      </c>
      <c r="Y41">
        <f t="shared" si="8"/>
        <v>1.18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0.59</v>
      </c>
      <c r="AU41" t="s">
        <v>181</v>
      </c>
      <c r="AV41">
        <v>1</v>
      </c>
      <c r="AW41">
        <v>2</v>
      </c>
      <c r="AX41">
        <v>80891629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ROUND(AT41*Source!I130*AH41*AL41,2)</f>
        <v>0</v>
      </c>
      <c r="CV41">
        <f>ROUND(Y41*Source!I130,9)</f>
        <v>356.92167999999998</v>
      </c>
      <c r="CW41">
        <v>0</v>
      </c>
      <c r="CX41">
        <f>ROUND(Y41*Source!I130,9)</f>
        <v>356.92167999999998</v>
      </c>
      <c r="CY41">
        <f>AD41</f>
        <v>0</v>
      </c>
      <c r="CZ41">
        <f>AH41</f>
        <v>0</v>
      </c>
      <c r="DA41">
        <f>AL41</f>
        <v>1</v>
      </c>
      <c r="DB41">
        <f t="shared" si="9"/>
        <v>0</v>
      </c>
      <c r="DC41">
        <f t="shared" si="10"/>
        <v>0</v>
      </c>
      <c r="DD41" t="s">
        <v>3</v>
      </c>
      <c r="DE41" t="s">
        <v>3</v>
      </c>
      <c r="DF41">
        <f t="shared" si="4"/>
        <v>0</v>
      </c>
      <c r="DG41">
        <f t="shared" si="5"/>
        <v>0</v>
      </c>
      <c r="DH41">
        <f t="shared" si="6"/>
        <v>0</v>
      </c>
      <c r="DI41">
        <f t="shared" si="7"/>
        <v>0</v>
      </c>
      <c r="DJ41">
        <f>DI41</f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5">
      <c r="A42">
        <f>ROW(Source!A130)</f>
        <v>130</v>
      </c>
      <c r="B42">
        <v>80891185</v>
      </c>
      <c r="C42">
        <v>80891517</v>
      </c>
      <c r="D42">
        <v>80213222</v>
      </c>
      <c r="E42">
        <v>1</v>
      </c>
      <c r="F42">
        <v>1</v>
      </c>
      <c r="G42">
        <v>15514512</v>
      </c>
      <c r="H42">
        <v>2</v>
      </c>
      <c r="I42" t="s">
        <v>291</v>
      </c>
      <c r="J42" t="s">
        <v>292</v>
      </c>
      <c r="K42" t="s">
        <v>293</v>
      </c>
      <c r="L42">
        <v>1368</v>
      </c>
      <c r="N42">
        <v>1011</v>
      </c>
      <c r="O42" t="s">
        <v>259</v>
      </c>
      <c r="P42" t="s">
        <v>259</v>
      </c>
      <c r="Q42">
        <v>1</v>
      </c>
      <c r="W42">
        <v>0</v>
      </c>
      <c r="X42">
        <v>-2077718103</v>
      </c>
      <c r="Y42">
        <f t="shared" si="8"/>
        <v>0.68</v>
      </c>
      <c r="AA42">
        <v>0</v>
      </c>
      <c r="AB42">
        <v>20.7</v>
      </c>
      <c r="AC42">
        <v>0.2</v>
      </c>
      <c r="AD42">
        <v>0</v>
      </c>
      <c r="AE42">
        <v>0</v>
      </c>
      <c r="AF42">
        <v>20.7</v>
      </c>
      <c r="AG42">
        <v>0.2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0.34</v>
      </c>
      <c r="AU42" t="s">
        <v>181</v>
      </c>
      <c r="AV42">
        <v>0</v>
      </c>
      <c r="AW42">
        <v>2</v>
      </c>
      <c r="AX42">
        <v>80891630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f>ROUND(Y42*Source!I130*DO42,9)</f>
        <v>0</v>
      </c>
      <c r="CX42">
        <f>ROUND(Y42*Source!I130,9)</f>
        <v>205.68368000000001</v>
      </c>
      <c r="CY42">
        <f>AB42</f>
        <v>20.7</v>
      </c>
      <c r="CZ42">
        <f>AF42</f>
        <v>20.7</v>
      </c>
      <c r="DA42">
        <f>AJ42</f>
        <v>1</v>
      </c>
      <c r="DB42">
        <f t="shared" si="9"/>
        <v>14.08</v>
      </c>
      <c r="DC42">
        <f t="shared" si="10"/>
        <v>0.14000000000000001</v>
      </c>
      <c r="DD42" t="s">
        <v>3</v>
      </c>
      <c r="DE42" t="s">
        <v>3</v>
      </c>
      <c r="DF42">
        <f t="shared" si="4"/>
        <v>0</v>
      </c>
      <c r="DG42">
        <f t="shared" si="5"/>
        <v>4257.6499999999996</v>
      </c>
      <c r="DH42">
        <f t="shared" si="6"/>
        <v>41.14</v>
      </c>
      <c r="DI42">
        <f t="shared" si="7"/>
        <v>0</v>
      </c>
      <c r="DJ42">
        <f>DG42</f>
        <v>4257.6499999999996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5">
      <c r="A43">
        <f>ROW(Source!A131)</f>
        <v>131</v>
      </c>
      <c r="B43">
        <v>80891185</v>
      </c>
      <c r="C43">
        <v>80891518</v>
      </c>
      <c r="D43">
        <v>80199986</v>
      </c>
      <c r="E43">
        <v>15514512</v>
      </c>
      <c r="F43">
        <v>1</v>
      </c>
      <c r="G43">
        <v>15514512</v>
      </c>
      <c r="H43">
        <v>1</v>
      </c>
      <c r="I43" t="s">
        <v>260</v>
      </c>
      <c r="J43" t="s">
        <v>3</v>
      </c>
      <c r="K43" t="s">
        <v>261</v>
      </c>
      <c r="L43">
        <v>1191</v>
      </c>
      <c r="N43">
        <v>1013</v>
      </c>
      <c r="O43" t="s">
        <v>262</v>
      </c>
      <c r="P43" t="s">
        <v>262</v>
      </c>
      <c r="Q43">
        <v>1</v>
      </c>
      <c r="W43">
        <v>0</v>
      </c>
      <c r="X43">
        <v>476480486</v>
      </c>
      <c r="Y43">
        <f t="shared" si="8"/>
        <v>3.2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1.6</v>
      </c>
      <c r="AU43" t="s">
        <v>181</v>
      </c>
      <c r="AV43">
        <v>1</v>
      </c>
      <c r="AW43">
        <v>2</v>
      </c>
      <c r="AX43">
        <v>80891631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ROUND(AT43*Source!I131*AH43*AL43,2)</f>
        <v>0</v>
      </c>
      <c r="CV43">
        <f>ROUND(Y43*Source!I131,9)</f>
        <v>483.96159999999998</v>
      </c>
      <c r="CW43">
        <v>0</v>
      </c>
      <c r="CX43">
        <f>ROUND(Y43*Source!I131,9)</f>
        <v>483.96159999999998</v>
      </c>
      <c r="CY43">
        <f>AD43</f>
        <v>0</v>
      </c>
      <c r="CZ43">
        <f>AH43</f>
        <v>0</v>
      </c>
      <c r="DA43">
        <f>AL43</f>
        <v>1</v>
      </c>
      <c r="DB43">
        <f t="shared" si="9"/>
        <v>0</v>
      </c>
      <c r="DC43">
        <f t="shared" si="10"/>
        <v>0</v>
      </c>
      <c r="DD43" t="s">
        <v>3</v>
      </c>
      <c r="DE43" t="s">
        <v>3</v>
      </c>
      <c r="DF43">
        <f t="shared" si="4"/>
        <v>0</v>
      </c>
      <c r="DG43">
        <f t="shared" si="5"/>
        <v>0</v>
      </c>
      <c r="DH43">
        <f t="shared" si="6"/>
        <v>0</v>
      </c>
      <c r="DI43">
        <f t="shared" si="7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5">
      <c r="A44">
        <f>ROW(Source!A132)</f>
        <v>132</v>
      </c>
      <c r="B44">
        <v>80891185</v>
      </c>
      <c r="C44">
        <v>80891519</v>
      </c>
      <c r="D44">
        <v>80199986</v>
      </c>
      <c r="E44">
        <v>15514512</v>
      </c>
      <c r="F44">
        <v>1</v>
      </c>
      <c r="G44">
        <v>15514512</v>
      </c>
      <c r="H44">
        <v>1</v>
      </c>
      <c r="I44" t="s">
        <v>260</v>
      </c>
      <c r="J44" t="s">
        <v>3</v>
      </c>
      <c r="K44" t="s">
        <v>261</v>
      </c>
      <c r="L44">
        <v>1191</v>
      </c>
      <c r="N44">
        <v>1013</v>
      </c>
      <c r="O44" t="s">
        <v>262</v>
      </c>
      <c r="P44" t="s">
        <v>262</v>
      </c>
      <c r="Q44">
        <v>1</v>
      </c>
      <c r="W44">
        <v>0</v>
      </c>
      <c r="X44">
        <v>476480486</v>
      </c>
      <c r="Y44">
        <f t="shared" si="8"/>
        <v>0.96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0.48</v>
      </c>
      <c r="AU44" t="s">
        <v>181</v>
      </c>
      <c r="AV44">
        <v>1</v>
      </c>
      <c r="AW44">
        <v>2</v>
      </c>
      <c r="AX44">
        <v>80891632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ROUND(AT44*Source!I132*AH44*AL44,2)</f>
        <v>0</v>
      </c>
      <c r="CV44">
        <f>ROUND(Y44*Source!I132,9)</f>
        <v>217.78272000000001</v>
      </c>
      <c r="CW44">
        <v>0</v>
      </c>
      <c r="CX44">
        <f>ROUND(Y44*Source!I132,9)</f>
        <v>217.78272000000001</v>
      </c>
      <c r="CY44">
        <f>AD44</f>
        <v>0</v>
      </c>
      <c r="CZ44">
        <f>AH44</f>
        <v>0</v>
      </c>
      <c r="DA44">
        <f>AL44</f>
        <v>1</v>
      </c>
      <c r="DB44">
        <f t="shared" si="9"/>
        <v>0</v>
      </c>
      <c r="DC44">
        <f t="shared" si="10"/>
        <v>0</v>
      </c>
      <c r="DD44" t="s">
        <v>3</v>
      </c>
      <c r="DE44" t="s">
        <v>3</v>
      </c>
      <c r="DF44">
        <f t="shared" si="4"/>
        <v>0</v>
      </c>
      <c r="DG44">
        <f t="shared" si="5"/>
        <v>0</v>
      </c>
      <c r="DH44">
        <f t="shared" si="6"/>
        <v>0</v>
      </c>
      <c r="DI44">
        <f t="shared" si="7"/>
        <v>0</v>
      </c>
      <c r="DJ44">
        <f>DI44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5">
      <c r="A45">
        <f>ROW(Source!A132)</f>
        <v>132</v>
      </c>
      <c r="B45">
        <v>80891185</v>
      </c>
      <c r="C45">
        <v>80891519</v>
      </c>
      <c r="D45">
        <v>80213338</v>
      </c>
      <c r="E45">
        <v>1</v>
      </c>
      <c r="F45">
        <v>1</v>
      </c>
      <c r="G45">
        <v>15514512</v>
      </c>
      <c r="H45">
        <v>2</v>
      </c>
      <c r="I45" t="s">
        <v>294</v>
      </c>
      <c r="J45" t="s">
        <v>295</v>
      </c>
      <c r="K45" t="s">
        <v>296</v>
      </c>
      <c r="L45">
        <v>1368</v>
      </c>
      <c r="N45">
        <v>1011</v>
      </c>
      <c r="O45" t="s">
        <v>259</v>
      </c>
      <c r="P45" t="s">
        <v>259</v>
      </c>
      <c r="Q45">
        <v>1</v>
      </c>
      <c r="W45">
        <v>0</v>
      </c>
      <c r="X45">
        <v>-1581114072</v>
      </c>
      <c r="Y45">
        <f t="shared" si="8"/>
        <v>0.42</v>
      </c>
      <c r="AA45">
        <v>0</v>
      </c>
      <c r="AB45">
        <v>1650.83</v>
      </c>
      <c r="AC45">
        <v>713.72</v>
      </c>
      <c r="AD45">
        <v>0</v>
      </c>
      <c r="AE45">
        <v>0</v>
      </c>
      <c r="AF45">
        <v>1650.83</v>
      </c>
      <c r="AG45">
        <v>713.72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0.21</v>
      </c>
      <c r="AU45" t="s">
        <v>181</v>
      </c>
      <c r="AV45">
        <v>0</v>
      </c>
      <c r="AW45">
        <v>2</v>
      </c>
      <c r="AX45">
        <v>80891633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f>ROUND(Y45*Source!I132*DO45,9)</f>
        <v>0</v>
      </c>
      <c r="CX45">
        <f>ROUND(Y45*Source!I132,9)</f>
        <v>95.279939999999996</v>
      </c>
      <c r="CY45">
        <f>AB45</f>
        <v>1650.83</v>
      </c>
      <c r="CZ45">
        <f>AF45</f>
        <v>1650.83</v>
      </c>
      <c r="DA45">
        <f>AJ45</f>
        <v>1</v>
      </c>
      <c r="DB45">
        <f t="shared" si="9"/>
        <v>693.34</v>
      </c>
      <c r="DC45">
        <f t="shared" si="10"/>
        <v>299.76</v>
      </c>
      <c r="DD45" t="s">
        <v>3</v>
      </c>
      <c r="DE45" t="s">
        <v>3</v>
      </c>
      <c r="DF45">
        <f t="shared" si="4"/>
        <v>0</v>
      </c>
      <c r="DG45">
        <f t="shared" si="5"/>
        <v>157290.98000000001</v>
      </c>
      <c r="DH45">
        <f t="shared" si="6"/>
        <v>68003.199999999997</v>
      </c>
      <c r="DI45">
        <f t="shared" si="7"/>
        <v>0</v>
      </c>
      <c r="DJ45">
        <f>DG45</f>
        <v>157290.98000000001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5">
      <c r="A46">
        <f>ROW(Source!A132)</f>
        <v>132</v>
      </c>
      <c r="B46">
        <v>80891185</v>
      </c>
      <c r="C46">
        <v>80891519</v>
      </c>
      <c r="D46">
        <v>80215861</v>
      </c>
      <c r="E46">
        <v>1</v>
      </c>
      <c r="F46">
        <v>1</v>
      </c>
      <c r="G46">
        <v>15514512</v>
      </c>
      <c r="H46">
        <v>3</v>
      </c>
      <c r="I46" t="s">
        <v>297</v>
      </c>
      <c r="J46" t="s">
        <v>298</v>
      </c>
      <c r="K46" t="s">
        <v>299</v>
      </c>
      <c r="L46">
        <v>1354</v>
      </c>
      <c r="N46">
        <v>1010</v>
      </c>
      <c r="O46" t="s">
        <v>278</v>
      </c>
      <c r="P46" t="s">
        <v>278</v>
      </c>
      <c r="Q46">
        <v>1</v>
      </c>
      <c r="W46">
        <v>0</v>
      </c>
      <c r="X46">
        <v>1239831338</v>
      </c>
      <c r="Y46">
        <f t="shared" si="8"/>
        <v>16</v>
      </c>
      <c r="AA46">
        <v>9.1</v>
      </c>
      <c r="AB46">
        <v>0</v>
      </c>
      <c r="AC46">
        <v>0</v>
      </c>
      <c r="AD46">
        <v>0</v>
      </c>
      <c r="AE46">
        <v>9.1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8</v>
      </c>
      <c r="AU46" t="s">
        <v>181</v>
      </c>
      <c r="AV46">
        <v>0</v>
      </c>
      <c r="AW46">
        <v>2</v>
      </c>
      <c r="AX46">
        <v>80891634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ROUND(Y46*Source!I132,9)</f>
        <v>3629.712</v>
      </c>
      <c r="CY46">
        <f>AA46</f>
        <v>9.1</v>
      </c>
      <c r="CZ46">
        <f>AE46</f>
        <v>9.1</v>
      </c>
      <c r="DA46">
        <f>AI46</f>
        <v>1</v>
      </c>
      <c r="DB46">
        <f t="shared" si="9"/>
        <v>145.6</v>
      </c>
      <c r="DC46">
        <f t="shared" si="10"/>
        <v>0</v>
      </c>
      <c r="DD46" t="s">
        <v>3</v>
      </c>
      <c r="DE46" t="s">
        <v>3</v>
      </c>
      <c r="DF46">
        <f t="shared" si="4"/>
        <v>33030.379999999997</v>
      </c>
      <c r="DG46">
        <f t="shared" si="5"/>
        <v>0</v>
      </c>
      <c r="DH46">
        <f t="shared" si="6"/>
        <v>0</v>
      </c>
      <c r="DI46">
        <f t="shared" si="7"/>
        <v>0</v>
      </c>
      <c r="DJ46">
        <f>DF46</f>
        <v>33030.379999999997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5">
      <c r="A47">
        <f>ROW(Source!A133)</f>
        <v>133</v>
      </c>
      <c r="B47">
        <v>80891185</v>
      </c>
      <c r="C47">
        <v>80891520</v>
      </c>
      <c r="D47">
        <v>80199986</v>
      </c>
      <c r="E47">
        <v>15514512</v>
      </c>
      <c r="F47">
        <v>1</v>
      </c>
      <c r="G47">
        <v>15514512</v>
      </c>
      <c r="H47">
        <v>1</v>
      </c>
      <c r="I47" t="s">
        <v>260</v>
      </c>
      <c r="J47" t="s">
        <v>3</v>
      </c>
      <c r="K47" t="s">
        <v>261</v>
      </c>
      <c r="L47">
        <v>1191</v>
      </c>
      <c r="N47">
        <v>1013</v>
      </c>
      <c r="O47" t="s">
        <v>262</v>
      </c>
      <c r="P47" t="s">
        <v>262</v>
      </c>
      <c r="Q47">
        <v>1</v>
      </c>
      <c r="W47">
        <v>0</v>
      </c>
      <c r="X47">
        <v>476480486</v>
      </c>
      <c r="Y47">
        <f>(AT47*199)</f>
        <v>9.9500000000000011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0.05</v>
      </c>
      <c r="AU47" t="s">
        <v>176</v>
      </c>
      <c r="AV47">
        <v>1</v>
      </c>
      <c r="AW47">
        <v>2</v>
      </c>
      <c r="AX47">
        <v>80891635</v>
      </c>
      <c r="AY47">
        <v>1</v>
      </c>
      <c r="AZ47">
        <v>2048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ROUND(AT47*Source!I133*AH47*AL47,2)</f>
        <v>0</v>
      </c>
      <c r="CV47">
        <f>ROUND(Y47*Source!I133,9)</f>
        <v>3590.1788999999999</v>
      </c>
      <c r="CW47">
        <v>0</v>
      </c>
      <c r="CX47">
        <f>ROUND(Y47*Source!I133,9)</f>
        <v>3590.1788999999999</v>
      </c>
      <c r="CY47">
        <f>AD47</f>
        <v>0</v>
      </c>
      <c r="CZ47">
        <f>AH47</f>
        <v>0</v>
      </c>
      <c r="DA47">
        <f>AL47</f>
        <v>1</v>
      </c>
      <c r="DB47">
        <f>ROUND((ROUND(AT47*CZ47,2)*199),6)</f>
        <v>0</v>
      </c>
      <c r="DC47">
        <f>ROUND((ROUND(AT47*AG47,2)*199),6)</f>
        <v>0</v>
      </c>
      <c r="DD47" t="s">
        <v>3</v>
      </c>
      <c r="DE47" t="s">
        <v>3</v>
      </c>
      <c r="DF47">
        <f t="shared" si="4"/>
        <v>0</v>
      </c>
      <c r="DG47">
        <f t="shared" si="5"/>
        <v>0</v>
      </c>
      <c r="DH47">
        <f t="shared" si="6"/>
        <v>0</v>
      </c>
      <c r="DI47">
        <f t="shared" si="7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5">
      <c r="A48">
        <f>ROW(Source!A133)</f>
        <v>133</v>
      </c>
      <c r="B48">
        <v>80891185</v>
      </c>
      <c r="C48">
        <v>80891520</v>
      </c>
      <c r="D48">
        <v>80215861</v>
      </c>
      <c r="E48">
        <v>1</v>
      </c>
      <c r="F48">
        <v>1</v>
      </c>
      <c r="G48">
        <v>15514512</v>
      </c>
      <c r="H48">
        <v>3</v>
      </c>
      <c r="I48" t="s">
        <v>297</v>
      </c>
      <c r="J48" t="s">
        <v>298</v>
      </c>
      <c r="K48" t="s">
        <v>299</v>
      </c>
      <c r="L48">
        <v>1354</v>
      </c>
      <c r="N48">
        <v>1010</v>
      </c>
      <c r="O48" t="s">
        <v>278</v>
      </c>
      <c r="P48" t="s">
        <v>278</v>
      </c>
      <c r="Q48">
        <v>1</v>
      </c>
      <c r="W48">
        <v>0</v>
      </c>
      <c r="X48">
        <v>1239831338</v>
      </c>
      <c r="Y48">
        <f>(AT48*199)</f>
        <v>19.900000000000002</v>
      </c>
      <c r="AA48">
        <v>9.1</v>
      </c>
      <c r="AB48">
        <v>0</v>
      </c>
      <c r="AC48">
        <v>0</v>
      </c>
      <c r="AD48">
        <v>0</v>
      </c>
      <c r="AE48">
        <v>9.1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0.1</v>
      </c>
      <c r="AU48" t="s">
        <v>176</v>
      </c>
      <c r="AV48">
        <v>0</v>
      </c>
      <c r="AW48">
        <v>2</v>
      </c>
      <c r="AX48">
        <v>80891636</v>
      </c>
      <c r="AY48">
        <v>1</v>
      </c>
      <c r="AZ48">
        <v>2048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ROUND(Y48*Source!I133,9)</f>
        <v>7180.3577999999998</v>
      </c>
      <c r="CY48">
        <f>AA48</f>
        <v>9.1</v>
      </c>
      <c r="CZ48">
        <f>AE48</f>
        <v>9.1</v>
      </c>
      <c r="DA48">
        <f>AI48</f>
        <v>1</v>
      </c>
      <c r="DB48">
        <f>ROUND((ROUND(AT48*CZ48,2)*199),6)</f>
        <v>181.09</v>
      </c>
      <c r="DC48">
        <f>ROUND((ROUND(AT48*AG48,2)*199),6)</f>
        <v>0</v>
      </c>
      <c r="DD48" t="s">
        <v>3</v>
      </c>
      <c r="DE48" t="s">
        <v>3</v>
      </c>
      <c r="DF48">
        <f t="shared" si="4"/>
        <v>65341.26</v>
      </c>
      <c r="DG48">
        <f t="shared" si="5"/>
        <v>0</v>
      </c>
      <c r="DH48">
        <f t="shared" si="6"/>
        <v>0</v>
      </c>
      <c r="DI48">
        <f t="shared" si="7"/>
        <v>0</v>
      </c>
      <c r="DJ48">
        <f>DF48</f>
        <v>65341.26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5">
      <c r="A49">
        <f>ROW(Source!A134)</f>
        <v>134</v>
      </c>
      <c r="B49">
        <v>80891185</v>
      </c>
      <c r="C49">
        <v>80891521</v>
      </c>
      <c r="D49">
        <v>80199986</v>
      </c>
      <c r="E49">
        <v>15514512</v>
      </c>
      <c r="F49">
        <v>1</v>
      </c>
      <c r="G49">
        <v>15514512</v>
      </c>
      <c r="H49">
        <v>1</v>
      </c>
      <c r="I49" t="s">
        <v>260</v>
      </c>
      <c r="J49" t="s">
        <v>3</v>
      </c>
      <c r="K49" t="s">
        <v>261</v>
      </c>
      <c r="L49">
        <v>1191</v>
      </c>
      <c r="N49">
        <v>1013</v>
      </c>
      <c r="O49" t="s">
        <v>262</v>
      </c>
      <c r="P49" t="s">
        <v>262</v>
      </c>
      <c r="Q49">
        <v>1</v>
      </c>
      <c r="W49">
        <v>0</v>
      </c>
      <c r="X49">
        <v>476480486</v>
      </c>
      <c r="Y49">
        <f>(AT49*14)</f>
        <v>13.719999999999999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0.98</v>
      </c>
      <c r="AU49" t="s">
        <v>156</v>
      </c>
      <c r="AV49">
        <v>1</v>
      </c>
      <c r="AW49">
        <v>2</v>
      </c>
      <c r="AX49">
        <v>80891637</v>
      </c>
      <c r="AY49">
        <v>1</v>
      </c>
      <c r="AZ49">
        <v>2048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ROUND(AT49*Source!I134*AH49*AL49,2)</f>
        <v>0</v>
      </c>
      <c r="CV49">
        <f>ROUND(Y49*Source!I134,9)</f>
        <v>20749.853599999999</v>
      </c>
      <c r="CW49">
        <v>0</v>
      </c>
      <c r="CX49">
        <f>ROUND(Y49*Source!I134,9)</f>
        <v>20749.853599999999</v>
      </c>
      <c r="CY49">
        <f>AD49</f>
        <v>0</v>
      </c>
      <c r="CZ49">
        <f>AH49</f>
        <v>0</v>
      </c>
      <c r="DA49">
        <f>AL49</f>
        <v>1</v>
      </c>
      <c r="DB49">
        <f>ROUND((ROUND(AT49*CZ49,2)*14),6)</f>
        <v>0</v>
      </c>
      <c r="DC49">
        <f>ROUND((ROUND(AT49*AG49,2)*14),6)</f>
        <v>0</v>
      </c>
      <c r="DD49" t="s">
        <v>3</v>
      </c>
      <c r="DE49" t="s">
        <v>3</v>
      </c>
      <c r="DF49">
        <f t="shared" si="4"/>
        <v>0</v>
      </c>
      <c r="DG49">
        <f t="shared" si="5"/>
        <v>0</v>
      </c>
      <c r="DH49">
        <f t="shared" si="6"/>
        <v>0</v>
      </c>
      <c r="DI49">
        <f t="shared" si="7"/>
        <v>0</v>
      </c>
      <c r="DJ49">
        <f>DI49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5">
      <c r="A50">
        <f>ROW(Source!A134)</f>
        <v>134</v>
      </c>
      <c r="B50">
        <v>80891185</v>
      </c>
      <c r="C50">
        <v>80891521</v>
      </c>
      <c r="D50">
        <v>80213130</v>
      </c>
      <c r="E50">
        <v>1</v>
      </c>
      <c r="F50">
        <v>1</v>
      </c>
      <c r="G50">
        <v>15514512</v>
      </c>
      <c r="H50">
        <v>2</v>
      </c>
      <c r="I50" t="s">
        <v>300</v>
      </c>
      <c r="J50" t="s">
        <v>301</v>
      </c>
      <c r="K50" t="s">
        <v>302</v>
      </c>
      <c r="L50">
        <v>1368</v>
      </c>
      <c r="N50">
        <v>1011</v>
      </c>
      <c r="O50" t="s">
        <v>259</v>
      </c>
      <c r="P50" t="s">
        <v>259</v>
      </c>
      <c r="Q50">
        <v>1</v>
      </c>
      <c r="W50">
        <v>0</v>
      </c>
      <c r="X50">
        <v>398049849</v>
      </c>
      <c r="Y50">
        <f>(AT50*14)</f>
        <v>10.5</v>
      </c>
      <c r="AA50">
        <v>0</v>
      </c>
      <c r="AB50">
        <v>32.590000000000003</v>
      </c>
      <c r="AC50">
        <v>3.28</v>
      </c>
      <c r="AD50">
        <v>0</v>
      </c>
      <c r="AE50">
        <v>0</v>
      </c>
      <c r="AF50">
        <v>32.590000000000003</v>
      </c>
      <c r="AG50">
        <v>3.28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0.75</v>
      </c>
      <c r="AU50" t="s">
        <v>156</v>
      </c>
      <c r="AV50">
        <v>0</v>
      </c>
      <c r="AW50">
        <v>2</v>
      </c>
      <c r="AX50">
        <v>80891638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f>ROUND(Y50*Source!I134*DO50,9)</f>
        <v>0</v>
      </c>
      <c r="CX50">
        <f>ROUND(Y50*Source!I134,9)</f>
        <v>15879.99</v>
      </c>
      <c r="CY50">
        <f>AB50</f>
        <v>32.590000000000003</v>
      </c>
      <c r="CZ50">
        <f>AF50</f>
        <v>32.590000000000003</v>
      </c>
      <c r="DA50">
        <f>AJ50</f>
        <v>1</v>
      </c>
      <c r="DB50">
        <f>ROUND((ROUND(AT50*CZ50,2)*14),6)</f>
        <v>342.16</v>
      </c>
      <c r="DC50">
        <f>ROUND((ROUND(AT50*AG50,2)*14),6)</f>
        <v>34.44</v>
      </c>
      <c r="DD50" t="s">
        <v>3</v>
      </c>
      <c r="DE50" t="s">
        <v>3</v>
      </c>
      <c r="DF50">
        <f t="shared" si="4"/>
        <v>0</v>
      </c>
      <c r="DG50">
        <f t="shared" si="5"/>
        <v>517528.87</v>
      </c>
      <c r="DH50">
        <f t="shared" si="6"/>
        <v>52086.37</v>
      </c>
      <c r="DI50">
        <f t="shared" si="7"/>
        <v>0</v>
      </c>
      <c r="DJ50">
        <f>DG50</f>
        <v>517528.87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5">
      <c r="A51">
        <f>ROW(Source!A135)</f>
        <v>135</v>
      </c>
      <c r="B51">
        <v>80891185</v>
      </c>
      <c r="C51">
        <v>80891522</v>
      </c>
      <c r="D51">
        <v>80199986</v>
      </c>
      <c r="E51">
        <v>15514512</v>
      </c>
      <c r="F51">
        <v>1</v>
      </c>
      <c r="G51">
        <v>15514512</v>
      </c>
      <c r="H51">
        <v>1</v>
      </c>
      <c r="I51" t="s">
        <v>260</v>
      </c>
      <c r="J51" t="s">
        <v>3</v>
      </c>
      <c r="K51" t="s">
        <v>261</v>
      </c>
      <c r="L51">
        <v>1191</v>
      </c>
      <c r="N51">
        <v>1013</v>
      </c>
      <c r="O51" t="s">
        <v>262</v>
      </c>
      <c r="P51" t="s">
        <v>262</v>
      </c>
      <c r="Q51">
        <v>1</v>
      </c>
      <c r="W51">
        <v>0</v>
      </c>
      <c r="X51">
        <v>476480486</v>
      </c>
      <c r="Y51">
        <f>(AT51*14)</f>
        <v>7.8400000000000007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0.56000000000000005</v>
      </c>
      <c r="AU51" t="s">
        <v>156</v>
      </c>
      <c r="AV51">
        <v>1</v>
      </c>
      <c r="AW51">
        <v>2</v>
      </c>
      <c r="AX51">
        <v>80891639</v>
      </c>
      <c r="AY51">
        <v>1</v>
      </c>
      <c r="AZ51">
        <v>2048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ROUND(AT51*Source!I135*AH51*AL51,2)</f>
        <v>0</v>
      </c>
      <c r="CV51">
        <f>ROUND(Y51*Source!I135,9)</f>
        <v>4453.0415999999996</v>
      </c>
      <c r="CW51">
        <v>0</v>
      </c>
      <c r="CX51">
        <f>ROUND(Y51*Source!I135,9)</f>
        <v>4453.0415999999996</v>
      </c>
      <c r="CY51">
        <f>AD51</f>
        <v>0</v>
      </c>
      <c r="CZ51">
        <f>AH51</f>
        <v>0</v>
      </c>
      <c r="DA51">
        <f>AL51</f>
        <v>1</v>
      </c>
      <c r="DB51">
        <f>ROUND((ROUND(AT51*CZ51,2)*14),6)</f>
        <v>0</v>
      </c>
      <c r="DC51">
        <f>ROUND((ROUND(AT51*AG51,2)*14),6)</f>
        <v>0</v>
      </c>
      <c r="DD51" t="s">
        <v>3</v>
      </c>
      <c r="DE51" t="s">
        <v>3</v>
      </c>
      <c r="DF51">
        <f t="shared" si="4"/>
        <v>0</v>
      </c>
      <c r="DG51">
        <f t="shared" si="5"/>
        <v>0</v>
      </c>
      <c r="DH51">
        <f t="shared" si="6"/>
        <v>0</v>
      </c>
      <c r="DI51">
        <f t="shared" si="7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5">
      <c r="A52">
        <f>ROW(Source!A135)</f>
        <v>135</v>
      </c>
      <c r="B52">
        <v>80891185</v>
      </c>
      <c r="C52">
        <v>80891522</v>
      </c>
      <c r="D52">
        <v>80212805</v>
      </c>
      <c r="E52">
        <v>1</v>
      </c>
      <c r="F52">
        <v>1</v>
      </c>
      <c r="G52">
        <v>15514512</v>
      </c>
      <c r="H52">
        <v>2</v>
      </c>
      <c r="I52" t="s">
        <v>303</v>
      </c>
      <c r="J52" t="s">
        <v>304</v>
      </c>
      <c r="K52" t="s">
        <v>305</v>
      </c>
      <c r="L52">
        <v>1368</v>
      </c>
      <c r="N52">
        <v>1011</v>
      </c>
      <c r="O52" t="s">
        <v>259</v>
      </c>
      <c r="P52" t="s">
        <v>259</v>
      </c>
      <c r="Q52">
        <v>1</v>
      </c>
      <c r="W52">
        <v>0</v>
      </c>
      <c r="X52">
        <v>-1652508930</v>
      </c>
      <c r="Y52">
        <f>(AT52*14)</f>
        <v>4.2</v>
      </c>
      <c r="AA52">
        <v>0</v>
      </c>
      <c r="AB52">
        <v>2997.56</v>
      </c>
      <c r="AC52">
        <v>1034.8599999999999</v>
      </c>
      <c r="AD52">
        <v>0</v>
      </c>
      <c r="AE52">
        <v>0</v>
      </c>
      <c r="AF52">
        <v>2997.56</v>
      </c>
      <c r="AG52">
        <v>1034.8599999999999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0.3</v>
      </c>
      <c r="AU52" t="s">
        <v>156</v>
      </c>
      <c r="AV52">
        <v>0</v>
      </c>
      <c r="AW52">
        <v>2</v>
      </c>
      <c r="AX52">
        <v>80891640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ROUND(Y52*Source!I135*DO52,9)</f>
        <v>0</v>
      </c>
      <c r="CX52">
        <f>ROUND(Y52*Source!I135,9)</f>
        <v>2385.558</v>
      </c>
      <c r="CY52">
        <f>AB52</f>
        <v>2997.56</v>
      </c>
      <c r="CZ52">
        <f>AF52</f>
        <v>2997.56</v>
      </c>
      <c r="DA52">
        <f>AJ52</f>
        <v>1</v>
      </c>
      <c r="DB52">
        <f>ROUND((ROUND(AT52*CZ52,2)*14),6)</f>
        <v>12589.78</v>
      </c>
      <c r="DC52">
        <f>ROUND((ROUND(AT52*AG52,2)*14),6)</f>
        <v>4346.4399999999996</v>
      </c>
      <c r="DD52" t="s">
        <v>3</v>
      </c>
      <c r="DE52" t="s">
        <v>3</v>
      </c>
      <c r="DF52">
        <f t="shared" si="4"/>
        <v>0</v>
      </c>
      <c r="DG52">
        <f t="shared" si="5"/>
        <v>7150853.2400000002</v>
      </c>
      <c r="DH52">
        <f t="shared" si="6"/>
        <v>2468718.5499999998</v>
      </c>
      <c r="DI52">
        <f t="shared" si="7"/>
        <v>0</v>
      </c>
      <c r="DJ52">
        <f>DG52</f>
        <v>7150853.2400000002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5">
      <c r="A53">
        <f>ROW(Source!A135)</f>
        <v>135</v>
      </c>
      <c r="B53">
        <v>80891185</v>
      </c>
      <c r="C53">
        <v>80891522</v>
      </c>
      <c r="D53">
        <v>80215470</v>
      </c>
      <c r="E53">
        <v>1</v>
      </c>
      <c r="F53">
        <v>1</v>
      </c>
      <c r="G53">
        <v>15514512</v>
      </c>
      <c r="H53">
        <v>3</v>
      </c>
      <c r="I53" t="s">
        <v>37</v>
      </c>
      <c r="J53" t="s">
        <v>40</v>
      </c>
      <c r="K53" t="s">
        <v>38</v>
      </c>
      <c r="L53">
        <v>1339</v>
      </c>
      <c r="N53">
        <v>1007</v>
      </c>
      <c r="O53" t="s">
        <v>39</v>
      </c>
      <c r="P53" t="s">
        <v>39</v>
      </c>
      <c r="Q53">
        <v>1</v>
      </c>
      <c r="W53">
        <v>1</v>
      </c>
      <c r="X53">
        <v>2112060389</v>
      </c>
      <c r="Y53">
        <f>(AT53*14)</f>
        <v>-14</v>
      </c>
      <c r="AA53">
        <v>54.81</v>
      </c>
      <c r="AB53">
        <v>0</v>
      </c>
      <c r="AC53">
        <v>0</v>
      </c>
      <c r="AD53">
        <v>0</v>
      </c>
      <c r="AE53">
        <v>54.81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-1</v>
      </c>
      <c r="AU53" t="s">
        <v>156</v>
      </c>
      <c r="AV53">
        <v>0</v>
      </c>
      <c r="AW53">
        <v>2</v>
      </c>
      <c r="AX53">
        <v>80891641</v>
      </c>
      <c r="AY53">
        <v>1</v>
      </c>
      <c r="AZ53">
        <v>6144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ROUND(Y53*Source!I135,9)</f>
        <v>-7951.86</v>
      </c>
      <c r="CY53">
        <f>AA53</f>
        <v>54.81</v>
      </c>
      <c r="CZ53">
        <f>AE53</f>
        <v>54.81</v>
      </c>
      <c r="DA53">
        <f>AI53</f>
        <v>1</v>
      </c>
      <c r="DB53">
        <f>ROUND((ROUND(AT53*CZ53,2)*14),6)</f>
        <v>-767.34</v>
      </c>
      <c r="DC53">
        <f>ROUND((ROUND(AT53*AG53,2)*14),6)</f>
        <v>0</v>
      </c>
      <c r="DD53" t="s">
        <v>3</v>
      </c>
      <c r="DE53" t="s">
        <v>3</v>
      </c>
      <c r="DF53">
        <f t="shared" si="4"/>
        <v>-435841.45</v>
      </c>
      <c r="DG53">
        <f t="shared" si="5"/>
        <v>0</v>
      </c>
      <c r="DH53">
        <f t="shared" si="6"/>
        <v>0</v>
      </c>
      <c r="DI53">
        <f t="shared" si="7"/>
        <v>0</v>
      </c>
      <c r="DJ53">
        <f>DF53</f>
        <v>-435841.45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5">
      <c r="A54">
        <f>ROW(Source!A137)</f>
        <v>137</v>
      </c>
      <c r="B54">
        <v>80891185</v>
      </c>
      <c r="C54">
        <v>80891523</v>
      </c>
      <c r="D54">
        <v>80199986</v>
      </c>
      <c r="E54">
        <v>15514512</v>
      </c>
      <c r="F54">
        <v>1</v>
      </c>
      <c r="G54">
        <v>15514512</v>
      </c>
      <c r="H54">
        <v>1</v>
      </c>
      <c r="I54" t="s">
        <v>260</v>
      </c>
      <c r="J54" t="s">
        <v>3</v>
      </c>
      <c r="K54" t="s">
        <v>261</v>
      </c>
      <c r="L54">
        <v>1191</v>
      </c>
      <c r="N54">
        <v>1013</v>
      </c>
      <c r="O54" t="s">
        <v>262</v>
      </c>
      <c r="P54" t="s">
        <v>262</v>
      </c>
      <c r="Q54">
        <v>1</v>
      </c>
      <c r="W54">
        <v>0</v>
      </c>
      <c r="X54">
        <v>476480486</v>
      </c>
      <c r="Y54">
        <f>AT54</f>
        <v>0.7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0.7</v>
      </c>
      <c r="AU54" t="s">
        <v>3</v>
      </c>
      <c r="AV54">
        <v>1</v>
      </c>
      <c r="AW54">
        <v>2</v>
      </c>
      <c r="AX54">
        <v>80891643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U54">
        <f>ROUND(AT54*Source!I137*AH54*AL54,2)</f>
        <v>0</v>
      </c>
      <c r="CV54">
        <f>ROUND(Y54*Source!I137,9)</f>
        <v>529.33299999999997</v>
      </c>
      <c r="CW54">
        <v>0</v>
      </c>
      <c r="CX54">
        <f>ROUND(Y54*Source!I137,9)</f>
        <v>529.33299999999997</v>
      </c>
      <c r="CY54">
        <f>AD54</f>
        <v>0</v>
      </c>
      <c r="CZ54">
        <f>AH54</f>
        <v>0</v>
      </c>
      <c r="DA54">
        <f>AL54</f>
        <v>1</v>
      </c>
      <c r="DB54">
        <f>ROUND(ROUND(AT54*CZ54,2),6)</f>
        <v>0</v>
      </c>
      <c r="DC54">
        <f>ROUND(ROUND(AT54*AG54,2),6)</f>
        <v>0</v>
      </c>
      <c r="DD54" t="s">
        <v>3</v>
      </c>
      <c r="DE54" t="s">
        <v>3</v>
      </c>
      <c r="DF54">
        <f t="shared" si="4"/>
        <v>0</v>
      </c>
      <c r="DG54">
        <f t="shared" si="5"/>
        <v>0</v>
      </c>
      <c r="DH54">
        <f t="shared" si="6"/>
        <v>0</v>
      </c>
      <c r="DI54">
        <f t="shared" si="7"/>
        <v>0</v>
      </c>
      <c r="DJ54">
        <f>DI54</f>
        <v>0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5">
      <c r="A55">
        <f>ROW(Source!A137)</f>
        <v>137</v>
      </c>
      <c r="B55">
        <v>80891185</v>
      </c>
      <c r="C55">
        <v>80891523</v>
      </c>
      <c r="D55">
        <v>80217208</v>
      </c>
      <c r="E55">
        <v>1</v>
      </c>
      <c r="F55">
        <v>1</v>
      </c>
      <c r="G55">
        <v>15514512</v>
      </c>
      <c r="H55">
        <v>3</v>
      </c>
      <c r="I55" t="s">
        <v>213</v>
      </c>
      <c r="J55" t="s">
        <v>216</v>
      </c>
      <c r="K55" t="s">
        <v>214</v>
      </c>
      <c r="L55">
        <v>1346</v>
      </c>
      <c r="N55">
        <v>1009</v>
      </c>
      <c r="O55" t="s">
        <v>215</v>
      </c>
      <c r="P55" t="s">
        <v>215</v>
      </c>
      <c r="Q55">
        <v>1</v>
      </c>
      <c r="W55">
        <v>0</v>
      </c>
      <c r="X55">
        <v>-606801753</v>
      </c>
      <c r="Y55">
        <f>AT55</f>
        <v>5</v>
      </c>
      <c r="AA55">
        <v>109.62</v>
      </c>
      <c r="AB55">
        <v>0</v>
      </c>
      <c r="AC55">
        <v>0</v>
      </c>
      <c r="AD55">
        <v>0</v>
      </c>
      <c r="AE55">
        <v>109.62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1</v>
      </c>
      <c r="AQ55">
        <v>0</v>
      </c>
      <c r="AR55">
        <v>0</v>
      </c>
      <c r="AS55" t="s">
        <v>3</v>
      </c>
      <c r="AT55">
        <v>5</v>
      </c>
      <c r="AU55" t="s">
        <v>3</v>
      </c>
      <c r="AV55">
        <v>0</v>
      </c>
      <c r="AW55">
        <v>1</v>
      </c>
      <c r="AX55">
        <v>-1</v>
      </c>
      <c r="AY55">
        <v>0</v>
      </c>
      <c r="AZ55">
        <v>0</v>
      </c>
      <c r="BA55" t="s">
        <v>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ROUND(Y55*Source!I137,9)</f>
        <v>3780.95</v>
      </c>
      <c r="CY55">
        <f>AA55</f>
        <v>109.62</v>
      </c>
      <c r="CZ55">
        <f>AE55</f>
        <v>109.62</v>
      </c>
      <c r="DA55">
        <f>AI55</f>
        <v>1</v>
      </c>
      <c r="DB55">
        <f>ROUND(ROUND(AT55*CZ55,2),6)</f>
        <v>548.1</v>
      </c>
      <c r="DC55">
        <f>ROUND(ROUND(AT55*AG55,2),6)</f>
        <v>0</v>
      </c>
      <c r="DD55" t="s">
        <v>3</v>
      </c>
      <c r="DE55" t="s">
        <v>3</v>
      </c>
      <c r="DF55">
        <f t="shared" si="4"/>
        <v>414467.74</v>
      </c>
      <c r="DG55">
        <f t="shared" si="5"/>
        <v>0</v>
      </c>
      <c r="DH55">
        <f t="shared" si="6"/>
        <v>0</v>
      </c>
      <c r="DI55">
        <f t="shared" si="7"/>
        <v>0</v>
      </c>
      <c r="DJ55">
        <f>DF55</f>
        <v>414467.74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5">
      <c r="A56">
        <f>ROW(Source!A139)</f>
        <v>139</v>
      </c>
      <c r="B56">
        <v>80891185</v>
      </c>
      <c r="C56">
        <v>80891526</v>
      </c>
      <c r="D56">
        <v>80199986</v>
      </c>
      <c r="E56">
        <v>15514512</v>
      </c>
      <c r="F56">
        <v>1</v>
      </c>
      <c r="G56">
        <v>15514512</v>
      </c>
      <c r="H56">
        <v>1</v>
      </c>
      <c r="I56" t="s">
        <v>260</v>
      </c>
      <c r="J56" t="s">
        <v>3</v>
      </c>
      <c r="K56" t="s">
        <v>261</v>
      </c>
      <c r="L56">
        <v>1191</v>
      </c>
      <c r="N56">
        <v>1013</v>
      </c>
      <c r="O56" t="s">
        <v>262</v>
      </c>
      <c r="P56" t="s">
        <v>262</v>
      </c>
      <c r="Q56">
        <v>1</v>
      </c>
      <c r="W56">
        <v>0</v>
      </c>
      <c r="X56">
        <v>476480486</v>
      </c>
      <c r="Y56">
        <f>(AT56*10)</f>
        <v>5.6000000000000005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0.56000000000000005</v>
      </c>
      <c r="AU56" t="s">
        <v>219</v>
      </c>
      <c r="AV56">
        <v>1</v>
      </c>
      <c r="AW56">
        <v>2</v>
      </c>
      <c r="AX56">
        <v>80891646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ROUND(AT56*Source!I139*AH56*AL56,2)</f>
        <v>0</v>
      </c>
      <c r="CV56">
        <f>ROUND(Y56*Source!I139,9)</f>
        <v>529.53599999999994</v>
      </c>
      <c r="CW56">
        <v>0</v>
      </c>
      <c r="CX56">
        <f>ROUND(Y56*Source!I139,9)</f>
        <v>529.53599999999994</v>
      </c>
      <c r="CY56">
        <f>AD56</f>
        <v>0</v>
      </c>
      <c r="CZ56">
        <f>AH56</f>
        <v>0</v>
      </c>
      <c r="DA56">
        <f>AL56</f>
        <v>1</v>
      </c>
      <c r="DB56">
        <f>ROUND((ROUND(AT56*CZ56,2)*10),6)</f>
        <v>0</v>
      </c>
      <c r="DC56">
        <f>ROUND((ROUND(AT56*AG56,2)*10),6)</f>
        <v>0</v>
      </c>
      <c r="DD56" t="s">
        <v>3</v>
      </c>
      <c r="DE56" t="s">
        <v>3</v>
      </c>
      <c r="DF56">
        <f t="shared" si="4"/>
        <v>0</v>
      </c>
      <c r="DG56">
        <f t="shared" si="5"/>
        <v>0</v>
      </c>
      <c r="DH56">
        <f t="shared" si="6"/>
        <v>0</v>
      </c>
      <c r="DI56">
        <f t="shared" si="7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5">
      <c r="A57">
        <f>ROW(Source!A139)</f>
        <v>139</v>
      </c>
      <c r="B57">
        <v>80891185</v>
      </c>
      <c r="C57">
        <v>80891526</v>
      </c>
      <c r="D57">
        <v>80212805</v>
      </c>
      <c r="E57">
        <v>1</v>
      </c>
      <c r="F57">
        <v>1</v>
      </c>
      <c r="G57">
        <v>15514512</v>
      </c>
      <c r="H57">
        <v>2</v>
      </c>
      <c r="I57" t="s">
        <v>303</v>
      </c>
      <c r="J57" t="s">
        <v>304</v>
      </c>
      <c r="K57" t="s">
        <v>305</v>
      </c>
      <c r="L57">
        <v>1368</v>
      </c>
      <c r="N57">
        <v>1011</v>
      </c>
      <c r="O57" t="s">
        <v>259</v>
      </c>
      <c r="P57" t="s">
        <v>259</v>
      </c>
      <c r="Q57">
        <v>1</v>
      </c>
      <c r="W57">
        <v>0</v>
      </c>
      <c r="X57">
        <v>-1652508930</v>
      </c>
      <c r="Y57">
        <f>(AT57*10)</f>
        <v>3</v>
      </c>
      <c r="AA57">
        <v>0</v>
      </c>
      <c r="AB57">
        <v>2997.56</v>
      </c>
      <c r="AC57">
        <v>1034.8599999999999</v>
      </c>
      <c r="AD57">
        <v>0</v>
      </c>
      <c r="AE57">
        <v>0</v>
      </c>
      <c r="AF57">
        <v>2997.56</v>
      </c>
      <c r="AG57">
        <v>1034.8599999999999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0.3</v>
      </c>
      <c r="AU57" t="s">
        <v>219</v>
      </c>
      <c r="AV57">
        <v>0</v>
      </c>
      <c r="AW57">
        <v>2</v>
      </c>
      <c r="AX57">
        <v>80891647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f>ROUND(Y57*Source!I139*DO57,9)</f>
        <v>0</v>
      </c>
      <c r="CX57">
        <f>ROUND(Y57*Source!I139,9)</f>
        <v>283.68</v>
      </c>
      <c r="CY57">
        <f>AB57</f>
        <v>2997.56</v>
      </c>
      <c r="CZ57">
        <f>AF57</f>
        <v>2997.56</v>
      </c>
      <c r="DA57">
        <f>AJ57</f>
        <v>1</v>
      </c>
      <c r="DB57">
        <f>ROUND((ROUND(AT57*CZ57,2)*10),6)</f>
        <v>8992.7000000000007</v>
      </c>
      <c r="DC57">
        <f>ROUND((ROUND(AT57*AG57,2)*10),6)</f>
        <v>3104.6</v>
      </c>
      <c r="DD57" t="s">
        <v>3</v>
      </c>
      <c r="DE57" t="s">
        <v>3</v>
      </c>
      <c r="DF57">
        <f t="shared" si="4"/>
        <v>0</v>
      </c>
      <c r="DG57">
        <f t="shared" si="5"/>
        <v>850347.82</v>
      </c>
      <c r="DH57">
        <f t="shared" si="6"/>
        <v>293569.08</v>
      </c>
      <c r="DI57">
        <f t="shared" si="7"/>
        <v>0</v>
      </c>
      <c r="DJ57">
        <f>DG57</f>
        <v>850347.82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5">
      <c r="A58">
        <f>ROW(Source!A139)</f>
        <v>139</v>
      </c>
      <c r="B58">
        <v>80891185</v>
      </c>
      <c r="C58">
        <v>80891526</v>
      </c>
      <c r="D58">
        <v>80215470</v>
      </c>
      <c r="E58">
        <v>1</v>
      </c>
      <c r="F58">
        <v>1</v>
      </c>
      <c r="G58">
        <v>15514512</v>
      </c>
      <c r="H58">
        <v>3</v>
      </c>
      <c r="I58" t="s">
        <v>37</v>
      </c>
      <c r="J58" t="s">
        <v>40</v>
      </c>
      <c r="K58" t="s">
        <v>38</v>
      </c>
      <c r="L58">
        <v>1339</v>
      </c>
      <c r="N58">
        <v>1007</v>
      </c>
      <c r="O58" t="s">
        <v>39</v>
      </c>
      <c r="P58" t="s">
        <v>39</v>
      </c>
      <c r="Q58">
        <v>1</v>
      </c>
      <c r="W58">
        <v>0</v>
      </c>
      <c r="X58">
        <v>2112060389</v>
      </c>
      <c r="Y58">
        <f>(AT58*10)</f>
        <v>10</v>
      </c>
      <c r="AA58">
        <v>54.81</v>
      </c>
      <c r="AB58">
        <v>0</v>
      </c>
      <c r="AC58">
        <v>0</v>
      </c>
      <c r="AD58">
        <v>0</v>
      </c>
      <c r="AE58">
        <v>54.81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1</v>
      </c>
      <c r="AU58" t="s">
        <v>219</v>
      </c>
      <c r="AV58">
        <v>0</v>
      </c>
      <c r="AW58">
        <v>2</v>
      </c>
      <c r="AX58">
        <v>80891648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ROUND(Y58*Source!I139,9)</f>
        <v>945.6</v>
      </c>
      <c r="CY58">
        <f>AA58</f>
        <v>54.81</v>
      </c>
      <c r="CZ58">
        <f>AE58</f>
        <v>54.81</v>
      </c>
      <c r="DA58">
        <f>AI58</f>
        <v>1</v>
      </c>
      <c r="DB58">
        <f>ROUND((ROUND(AT58*CZ58,2)*10),6)</f>
        <v>548.1</v>
      </c>
      <c r="DC58">
        <f>ROUND((ROUND(AT58*AG58,2)*10),6)</f>
        <v>0</v>
      </c>
      <c r="DD58" t="s">
        <v>3</v>
      </c>
      <c r="DE58" t="s">
        <v>3</v>
      </c>
      <c r="DF58">
        <f t="shared" si="4"/>
        <v>51828.34</v>
      </c>
      <c r="DG58">
        <f t="shared" si="5"/>
        <v>0</v>
      </c>
      <c r="DH58">
        <f t="shared" si="6"/>
        <v>0</v>
      </c>
      <c r="DI58">
        <f t="shared" si="7"/>
        <v>0</v>
      </c>
      <c r="DJ58">
        <f>DF58</f>
        <v>51828.34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5">
      <c r="A59">
        <f>ROW(Source!A140)</f>
        <v>140</v>
      </c>
      <c r="B59">
        <v>80891185</v>
      </c>
      <c r="C59">
        <v>80891693</v>
      </c>
      <c r="D59">
        <v>80199986</v>
      </c>
      <c r="E59">
        <v>15514512</v>
      </c>
      <c r="F59">
        <v>1</v>
      </c>
      <c r="G59">
        <v>15514512</v>
      </c>
      <c r="H59">
        <v>1</v>
      </c>
      <c r="I59" t="s">
        <v>260</v>
      </c>
      <c r="J59" t="s">
        <v>3</v>
      </c>
      <c r="K59" t="s">
        <v>261</v>
      </c>
      <c r="L59">
        <v>1191</v>
      </c>
      <c r="N59">
        <v>1013</v>
      </c>
      <c r="O59" t="s">
        <v>262</v>
      </c>
      <c r="P59" t="s">
        <v>262</v>
      </c>
      <c r="Q59">
        <v>1</v>
      </c>
      <c r="W59">
        <v>0</v>
      </c>
      <c r="X59">
        <v>476480486</v>
      </c>
      <c r="Y59">
        <f>(AT59*6)</f>
        <v>9.48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1.58</v>
      </c>
      <c r="AU59" t="s">
        <v>225</v>
      </c>
      <c r="AV59">
        <v>1</v>
      </c>
      <c r="AW59">
        <v>2</v>
      </c>
      <c r="AX59">
        <v>80891696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U59">
        <f>ROUND(AT59*Source!I140*AH59*AL59,2)</f>
        <v>0</v>
      </c>
      <c r="CV59">
        <f>ROUND(Y59*Source!I140,9)</f>
        <v>4482.1440000000002</v>
      </c>
      <c r="CW59">
        <v>0</v>
      </c>
      <c r="CX59">
        <f>ROUND(Y59*Source!I140,9)</f>
        <v>4482.1440000000002</v>
      </c>
      <c r="CY59">
        <f>AD59</f>
        <v>0</v>
      </c>
      <c r="CZ59">
        <f>AH59</f>
        <v>0</v>
      </c>
      <c r="DA59">
        <f>AL59</f>
        <v>1</v>
      </c>
      <c r="DB59">
        <f>ROUND((ROUND(AT59*CZ59,2)*6),6)</f>
        <v>0</v>
      </c>
      <c r="DC59">
        <f>ROUND((ROUND(AT59*AG59,2)*6),6)</f>
        <v>0</v>
      </c>
      <c r="DD59" t="s">
        <v>3</v>
      </c>
      <c r="DE59" t="s">
        <v>3</v>
      </c>
      <c r="DF59">
        <f t="shared" si="4"/>
        <v>0</v>
      </c>
      <c r="DG59">
        <f t="shared" si="5"/>
        <v>0</v>
      </c>
      <c r="DH59">
        <f t="shared" si="6"/>
        <v>0</v>
      </c>
      <c r="DI59">
        <f t="shared" si="7"/>
        <v>0</v>
      </c>
      <c r="DJ59">
        <f>DI59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5">
      <c r="A60">
        <f>ROW(Source!A140)</f>
        <v>140</v>
      </c>
      <c r="B60">
        <v>80891185</v>
      </c>
      <c r="C60">
        <v>80891693</v>
      </c>
      <c r="D60">
        <v>80215860</v>
      </c>
      <c r="E60">
        <v>1</v>
      </c>
      <c r="F60">
        <v>1</v>
      </c>
      <c r="G60">
        <v>15514512</v>
      </c>
      <c r="H60">
        <v>3</v>
      </c>
      <c r="I60" t="s">
        <v>275</v>
      </c>
      <c r="J60" t="s">
        <v>276</v>
      </c>
      <c r="K60" t="s">
        <v>277</v>
      </c>
      <c r="L60">
        <v>1354</v>
      </c>
      <c r="N60">
        <v>1010</v>
      </c>
      <c r="O60" t="s">
        <v>278</v>
      </c>
      <c r="P60" t="s">
        <v>278</v>
      </c>
      <c r="Q60">
        <v>1</v>
      </c>
      <c r="W60">
        <v>0</v>
      </c>
      <c r="X60">
        <v>-1952007382</v>
      </c>
      <c r="Y60">
        <f>(AT60*6)</f>
        <v>3</v>
      </c>
      <c r="AA60">
        <v>2.75</v>
      </c>
      <c r="AB60">
        <v>0</v>
      </c>
      <c r="AC60">
        <v>0</v>
      </c>
      <c r="AD60">
        <v>0</v>
      </c>
      <c r="AE60">
        <v>2.75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0.5</v>
      </c>
      <c r="AU60" t="s">
        <v>225</v>
      </c>
      <c r="AV60">
        <v>0</v>
      </c>
      <c r="AW60">
        <v>2</v>
      </c>
      <c r="AX60">
        <v>80891697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ROUND(Y60*Source!I140,9)</f>
        <v>1418.4</v>
      </c>
      <c r="CY60">
        <f>AA60</f>
        <v>2.75</v>
      </c>
      <c r="CZ60">
        <f>AE60</f>
        <v>2.75</v>
      </c>
      <c r="DA60">
        <f>AI60</f>
        <v>1</v>
      </c>
      <c r="DB60">
        <f>ROUND((ROUND(AT60*CZ60,2)*6),6)</f>
        <v>8.2799999999999994</v>
      </c>
      <c r="DC60">
        <f>ROUND((ROUND(AT60*AG60,2)*6),6)</f>
        <v>0</v>
      </c>
      <c r="DD60" t="s">
        <v>3</v>
      </c>
      <c r="DE60" t="s">
        <v>3</v>
      </c>
      <c r="DF60">
        <f t="shared" si="4"/>
        <v>3900.6</v>
      </c>
      <c r="DG60">
        <f t="shared" si="5"/>
        <v>0</v>
      </c>
      <c r="DH60">
        <f t="shared" si="6"/>
        <v>0</v>
      </c>
      <c r="DI60">
        <f t="shared" si="7"/>
        <v>0</v>
      </c>
      <c r="DJ60">
        <f>DF60</f>
        <v>3900.6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5">
      <c r="A61">
        <f>ROW(Source!A141)</f>
        <v>141</v>
      </c>
      <c r="B61">
        <v>80891185</v>
      </c>
      <c r="C61">
        <v>80891529</v>
      </c>
      <c r="D61">
        <v>80199986</v>
      </c>
      <c r="E61">
        <v>15514512</v>
      </c>
      <c r="F61">
        <v>1</v>
      </c>
      <c r="G61">
        <v>15514512</v>
      </c>
      <c r="H61">
        <v>1</v>
      </c>
      <c r="I61" t="s">
        <v>260</v>
      </c>
      <c r="J61" t="s">
        <v>3</v>
      </c>
      <c r="K61" t="s">
        <v>261</v>
      </c>
      <c r="L61">
        <v>1191</v>
      </c>
      <c r="N61">
        <v>1013</v>
      </c>
      <c r="O61" t="s">
        <v>262</v>
      </c>
      <c r="P61" t="s">
        <v>262</v>
      </c>
      <c r="Q61">
        <v>1</v>
      </c>
      <c r="W61">
        <v>0</v>
      </c>
      <c r="X61">
        <v>476480486</v>
      </c>
      <c r="Y61">
        <f>(AT61*20)</f>
        <v>11.200000000000001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0.56000000000000005</v>
      </c>
      <c r="AU61" t="s">
        <v>58</v>
      </c>
      <c r="AV61">
        <v>1</v>
      </c>
      <c r="AW61">
        <v>2</v>
      </c>
      <c r="AX61">
        <v>80891655</v>
      </c>
      <c r="AY61">
        <v>1</v>
      </c>
      <c r="AZ61">
        <v>2048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ROUND(AT61*Source!I141*AH61*AL61,2)</f>
        <v>0</v>
      </c>
      <c r="CV61">
        <f>ROUND(Y61*Source!I141,9)</f>
        <v>189.56</v>
      </c>
      <c r="CW61">
        <v>0</v>
      </c>
      <c r="CX61">
        <f>ROUND(Y61*Source!I141,9)</f>
        <v>189.56</v>
      </c>
      <c r="CY61">
        <f>AD61</f>
        <v>0</v>
      </c>
      <c r="CZ61">
        <f>AH61</f>
        <v>0</v>
      </c>
      <c r="DA61">
        <f>AL61</f>
        <v>1</v>
      </c>
      <c r="DB61">
        <f>ROUND((ROUND(AT61*CZ61,2)*20),6)</f>
        <v>0</v>
      </c>
      <c r="DC61">
        <f>ROUND((ROUND(AT61*AG61,2)*20),6)</f>
        <v>0</v>
      </c>
      <c r="DD61" t="s">
        <v>3</v>
      </c>
      <c r="DE61" t="s">
        <v>3</v>
      </c>
      <c r="DF61">
        <f t="shared" si="4"/>
        <v>0</v>
      </c>
      <c r="DG61">
        <f t="shared" si="5"/>
        <v>0</v>
      </c>
      <c r="DH61">
        <f t="shared" si="6"/>
        <v>0</v>
      </c>
      <c r="DI61">
        <f t="shared" si="7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5">
      <c r="A62">
        <f>ROW(Source!A141)</f>
        <v>141</v>
      </c>
      <c r="B62">
        <v>80891185</v>
      </c>
      <c r="C62">
        <v>80891529</v>
      </c>
      <c r="D62">
        <v>80212805</v>
      </c>
      <c r="E62">
        <v>1</v>
      </c>
      <c r="F62">
        <v>1</v>
      </c>
      <c r="G62">
        <v>15514512</v>
      </c>
      <c r="H62">
        <v>2</v>
      </c>
      <c r="I62" t="s">
        <v>303</v>
      </c>
      <c r="J62" t="s">
        <v>304</v>
      </c>
      <c r="K62" t="s">
        <v>305</v>
      </c>
      <c r="L62">
        <v>1368</v>
      </c>
      <c r="N62">
        <v>1011</v>
      </c>
      <c r="O62" t="s">
        <v>259</v>
      </c>
      <c r="P62" t="s">
        <v>259</v>
      </c>
      <c r="Q62">
        <v>1</v>
      </c>
      <c r="W62">
        <v>0</v>
      </c>
      <c r="X62">
        <v>-1652508930</v>
      </c>
      <c r="Y62">
        <f>(AT62*20)</f>
        <v>6</v>
      </c>
      <c r="AA62">
        <v>0</v>
      </c>
      <c r="AB62">
        <v>2997.56</v>
      </c>
      <c r="AC62">
        <v>1034.8599999999999</v>
      </c>
      <c r="AD62">
        <v>0</v>
      </c>
      <c r="AE62">
        <v>0</v>
      </c>
      <c r="AF62">
        <v>2997.56</v>
      </c>
      <c r="AG62">
        <v>1034.8599999999999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0.3</v>
      </c>
      <c r="AU62" t="s">
        <v>58</v>
      </c>
      <c r="AV62">
        <v>0</v>
      </c>
      <c r="AW62">
        <v>2</v>
      </c>
      <c r="AX62">
        <v>80891656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ROUND(Y62*Source!I141*DO62,9)</f>
        <v>0</v>
      </c>
      <c r="CX62">
        <f>ROUND(Y62*Source!I141,9)</f>
        <v>101.55</v>
      </c>
      <c r="CY62">
        <f>AB62</f>
        <v>2997.56</v>
      </c>
      <c r="CZ62">
        <f>AF62</f>
        <v>2997.56</v>
      </c>
      <c r="DA62">
        <f>AJ62</f>
        <v>1</v>
      </c>
      <c r="DB62">
        <f>ROUND((ROUND(AT62*CZ62,2)*20),6)</f>
        <v>17985.400000000001</v>
      </c>
      <c r="DC62">
        <f>ROUND((ROUND(AT62*AG62,2)*20),6)</f>
        <v>6209.2</v>
      </c>
      <c r="DD62" t="s">
        <v>3</v>
      </c>
      <c r="DE62" t="s">
        <v>3</v>
      </c>
      <c r="DF62">
        <f t="shared" si="4"/>
        <v>0</v>
      </c>
      <c r="DG62">
        <f t="shared" si="5"/>
        <v>304402.21999999997</v>
      </c>
      <c r="DH62">
        <f t="shared" si="6"/>
        <v>105090.03</v>
      </c>
      <c r="DI62">
        <f t="shared" si="7"/>
        <v>0</v>
      </c>
      <c r="DJ62">
        <f>DG62</f>
        <v>304402.21999999997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5">
      <c r="A63">
        <f>ROW(Source!A141)</f>
        <v>141</v>
      </c>
      <c r="B63">
        <v>80891185</v>
      </c>
      <c r="C63">
        <v>80891529</v>
      </c>
      <c r="D63">
        <v>80215470</v>
      </c>
      <c r="E63">
        <v>1</v>
      </c>
      <c r="F63">
        <v>1</v>
      </c>
      <c r="G63">
        <v>15514512</v>
      </c>
      <c r="H63">
        <v>3</v>
      </c>
      <c r="I63" t="s">
        <v>37</v>
      </c>
      <c r="J63" t="s">
        <v>40</v>
      </c>
      <c r="K63" t="s">
        <v>38</v>
      </c>
      <c r="L63">
        <v>1339</v>
      </c>
      <c r="N63">
        <v>1007</v>
      </c>
      <c r="O63" t="s">
        <v>39</v>
      </c>
      <c r="P63" t="s">
        <v>39</v>
      </c>
      <c r="Q63">
        <v>1</v>
      </c>
      <c r="W63">
        <v>0</v>
      </c>
      <c r="X63">
        <v>2112060389</v>
      </c>
      <c r="Y63">
        <f>(AT63*20)</f>
        <v>20</v>
      </c>
      <c r="AA63">
        <v>54.81</v>
      </c>
      <c r="AB63">
        <v>0</v>
      </c>
      <c r="AC63">
        <v>0</v>
      </c>
      <c r="AD63">
        <v>0</v>
      </c>
      <c r="AE63">
        <v>54.81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</v>
      </c>
      <c r="AU63" t="s">
        <v>58</v>
      </c>
      <c r="AV63">
        <v>0</v>
      </c>
      <c r="AW63">
        <v>2</v>
      </c>
      <c r="AX63">
        <v>80891657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ROUND(Y63*Source!I141,9)</f>
        <v>338.5</v>
      </c>
      <c r="CY63">
        <f>AA63</f>
        <v>54.81</v>
      </c>
      <c r="CZ63">
        <f>AE63</f>
        <v>54.81</v>
      </c>
      <c r="DA63">
        <f>AI63</f>
        <v>1</v>
      </c>
      <c r="DB63">
        <f>ROUND((ROUND(AT63*CZ63,2)*20),6)</f>
        <v>1096.2</v>
      </c>
      <c r="DC63">
        <f>ROUND((ROUND(AT63*AG63,2)*20),6)</f>
        <v>0</v>
      </c>
      <c r="DD63" t="s">
        <v>3</v>
      </c>
      <c r="DE63" t="s">
        <v>3</v>
      </c>
      <c r="DF63">
        <f t="shared" si="4"/>
        <v>18553.189999999999</v>
      </c>
      <c r="DG63">
        <f t="shared" si="5"/>
        <v>0</v>
      </c>
      <c r="DH63">
        <f t="shared" si="6"/>
        <v>0</v>
      </c>
      <c r="DI63">
        <f t="shared" si="7"/>
        <v>0</v>
      </c>
      <c r="DJ63">
        <f>DF63</f>
        <v>18553.189999999999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5">
      <c r="A64">
        <f>ROW(Source!A142)</f>
        <v>142</v>
      </c>
      <c r="B64">
        <v>80891185</v>
      </c>
      <c r="C64">
        <v>80891530</v>
      </c>
      <c r="D64">
        <v>80199986</v>
      </c>
      <c r="E64">
        <v>15514512</v>
      </c>
      <c r="F64">
        <v>1</v>
      </c>
      <c r="G64">
        <v>15514512</v>
      </c>
      <c r="H64">
        <v>1</v>
      </c>
      <c r="I64" t="s">
        <v>260</v>
      </c>
      <c r="J64" t="s">
        <v>3</v>
      </c>
      <c r="K64" t="s">
        <v>261</v>
      </c>
      <c r="L64">
        <v>1191</v>
      </c>
      <c r="N64">
        <v>1013</v>
      </c>
      <c r="O64" t="s">
        <v>262</v>
      </c>
      <c r="P64" t="s">
        <v>262</v>
      </c>
      <c r="Q64">
        <v>1</v>
      </c>
      <c r="W64">
        <v>0</v>
      </c>
      <c r="X64">
        <v>476480486</v>
      </c>
      <c r="Y64">
        <f>(AT64*6)</f>
        <v>39.54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6.59</v>
      </c>
      <c r="AU64" t="s">
        <v>225</v>
      </c>
      <c r="AV64">
        <v>1</v>
      </c>
      <c r="AW64">
        <v>2</v>
      </c>
      <c r="AX64">
        <v>80891658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ROUND(AT64*Source!I142*AH64*AL64,2)</f>
        <v>0</v>
      </c>
      <c r="CV64">
        <f>ROUND(Y64*Source!I142,9)</f>
        <v>1338.4290000000001</v>
      </c>
      <c r="CW64">
        <v>0</v>
      </c>
      <c r="CX64">
        <f>ROUND(Y64*Source!I142,9)</f>
        <v>1338.4290000000001</v>
      </c>
      <c r="CY64">
        <f>AD64</f>
        <v>0</v>
      </c>
      <c r="CZ64">
        <f>AH64</f>
        <v>0</v>
      </c>
      <c r="DA64">
        <f>AL64</f>
        <v>1</v>
      </c>
      <c r="DB64">
        <f>ROUND((ROUND(AT64*CZ64,2)*6),6)</f>
        <v>0</v>
      </c>
      <c r="DC64">
        <f>ROUND((ROUND(AT64*AG64,2)*6),6)</f>
        <v>0</v>
      </c>
      <c r="DD64" t="s">
        <v>3</v>
      </c>
      <c r="DE64" t="s">
        <v>3</v>
      </c>
      <c r="DF64">
        <f t="shared" si="4"/>
        <v>0</v>
      </c>
      <c r="DG64">
        <f t="shared" si="5"/>
        <v>0</v>
      </c>
      <c r="DH64">
        <f t="shared" si="6"/>
        <v>0</v>
      </c>
      <c r="DI64">
        <f t="shared" si="7"/>
        <v>0</v>
      </c>
      <c r="DJ64">
        <f>DI64</f>
        <v>0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5">
      <c r="A65">
        <f>ROW(Source!A143)</f>
        <v>143</v>
      </c>
      <c r="B65">
        <v>80891185</v>
      </c>
      <c r="C65">
        <v>80891705</v>
      </c>
      <c r="D65">
        <v>80199986</v>
      </c>
      <c r="E65">
        <v>15514512</v>
      </c>
      <c r="F65">
        <v>1</v>
      </c>
      <c r="G65">
        <v>15514512</v>
      </c>
      <c r="H65">
        <v>1</v>
      </c>
      <c r="I65" t="s">
        <v>260</v>
      </c>
      <c r="J65" t="s">
        <v>3</v>
      </c>
      <c r="K65" t="s">
        <v>261</v>
      </c>
      <c r="L65">
        <v>1191</v>
      </c>
      <c r="N65">
        <v>1013</v>
      </c>
      <c r="O65" t="s">
        <v>262</v>
      </c>
      <c r="P65" t="s">
        <v>262</v>
      </c>
      <c r="Q65">
        <v>1</v>
      </c>
      <c r="W65">
        <v>0</v>
      </c>
      <c r="X65">
        <v>476480486</v>
      </c>
      <c r="Y65">
        <f>(AT65*2)</f>
        <v>0.36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0.18</v>
      </c>
      <c r="AU65" t="s">
        <v>181</v>
      </c>
      <c r="AV65">
        <v>1</v>
      </c>
      <c r="AW65">
        <v>2</v>
      </c>
      <c r="AX65">
        <v>80891710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ROUND(AT65*Source!I143*AH65*AL65,2)</f>
        <v>0</v>
      </c>
      <c r="CV65">
        <f>ROUND(Y65*Source!I143,9)</f>
        <v>12.186</v>
      </c>
      <c r="CW65">
        <v>0</v>
      </c>
      <c r="CX65">
        <f>ROUND(Y65*Source!I143,9)</f>
        <v>12.186</v>
      </c>
      <c r="CY65">
        <f>AD65</f>
        <v>0</v>
      </c>
      <c r="CZ65">
        <f>AH65</f>
        <v>0</v>
      </c>
      <c r="DA65">
        <f>AL65</f>
        <v>1</v>
      </c>
      <c r="DB65">
        <f>ROUND((ROUND(AT65*CZ65,2)*2),6)</f>
        <v>0</v>
      </c>
      <c r="DC65">
        <f>ROUND((ROUND(AT65*AG65,2)*2),6)</f>
        <v>0</v>
      </c>
      <c r="DD65" t="s">
        <v>3</v>
      </c>
      <c r="DE65" t="s">
        <v>3</v>
      </c>
      <c r="DF65">
        <f t="shared" ref="DF65:DF72" si="11">ROUND(ROUND(AE65,2)*CX65,2)</f>
        <v>0</v>
      </c>
      <c r="DG65">
        <f t="shared" ref="DG65:DG72" si="12">ROUND(ROUND(AF65,2)*CX65,2)</f>
        <v>0</v>
      </c>
      <c r="DH65">
        <f t="shared" ref="DH65:DH72" si="13">ROUND(ROUND(AG65,2)*CX65,2)</f>
        <v>0</v>
      </c>
      <c r="DI65">
        <f t="shared" ref="DI65:DI72" si="14">ROUND(ROUND(AH65,2)*CX65,2)</f>
        <v>0</v>
      </c>
      <c r="DJ65">
        <f>DI65</f>
        <v>0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5">
      <c r="A66">
        <f>ROW(Source!A143)</f>
        <v>143</v>
      </c>
      <c r="B66">
        <v>80891185</v>
      </c>
      <c r="C66">
        <v>80891705</v>
      </c>
      <c r="D66">
        <v>80213250</v>
      </c>
      <c r="E66">
        <v>1</v>
      </c>
      <c r="F66">
        <v>1</v>
      </c>
      <c r="G66">
        <v>15514512</v>
      </c>
      <c r="H66">
        <v>2</v>
      </c>
      <c r="I66" t="s">
        <v>306</v>
      </c>
      <c r="J66" t="s">
        <v>307</v>
      </c>
      <c r="K66" t="s">
        <v>308</v>
      </c>
      <c r="L66">
        <v>1368</v>
      </c>
      <c r="N66">
        <v>1011</v>
      </c>
      <c r="O66" t="s">
        <v>259</v>
      </c>
      <c r="P66" t="s">
        <v>259</v>
      </c>
      <c r="Q66">
        <v>1</v>
      </c>
      <c r="W66">
        <v>0</v>
      </c>
      <c r="X66">
        <v>-1615921593</v>
      </c>
      <c r="Y66">
        <f>(AT66*2)</f>
        <v>0.18</v>
      </c>
      <c r="AA66">
        <v>0</v>
      </c>
      <c r="AB66">
        <v>218.95</v>
      </c>
      <c r="AC66">
        <v>0.48</v>
      </c>
      <c r="AD66">
        <v>0</v>
      </c>
      <c r="AE66">
        <v>0</v>
      </c>
      <c r="AF66">
        <v>218.95</v>
      </c>
      <c r="AG66">
        <v>0.48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0.09</v>
      </c>
      <c r="AU66" t="s">
        <v>181</v>
      </c>
      <c r="AV66">
        <v>0</v>
      </c>
      <c r="AW66">
        <v>2</v>
      </c>
      <c r="AX66">
        <v>80891711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f>ROUND(Y66*Source!I143*DO66,9)</f>
        <v>0</v>
      </c>
      <c r="CX66">
        <f>ROUND(Y66*Source!I143,9)</f>
        <v>6.093</v>
      </c>
      <c r="CY66">
        <f>AB66</f>
        <v>218.95</v>
      </c>
      <c r="CZ66">
        <f>AF66</f>
        <v>218.95</v>
      </c>
      <c r="DA66">
        <f>AJ66</f>
        <v>1</v>
      </c>
      <c r="DB66">
        <f>ROUND((ROUND(AT66*CZ66,2)*2),6)</f>
        <v>39.42</v>
      </c>
      <c r="DC66">
        <f>ROUND((ROUND(AT66*AG66,2)*2),6)</f>
        <v>0.08</v>
      </c>
      <c r="DD66" t="s">
        <v>3</v>
      </c>
      <c r="DE66" t="s">
        <v>3</v>
      </c>
      <c r="DF66">
        <f t="shared" si="11"/>
        <v>0</v>
      </c>
      <c r="DG66">
        <f t="shared" si="12"/>
        <v>1334.06</v>
      </c>
      <c r="DH66">
        <f t="shared" si="13"/>
        <v>2.92</v>
      </c>
      <c r="DI66">
        <f t="shared" si="14"/>
        <v>0</v>
      </c>
      <c r="DJ66">
        <f>DG66</f>
        <v>1334.06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5">
      <c r="A67">
        <f>ROW(Source!A143)</f>
        <v>143</v>
      </c>
      <c r="B67">
        <v>80891185</v>
      </c>
      <c r="C67">
        <v>80891705</v>
      </c>
      <c r="D67">
        <v>80215470</v>
      </c>
      <c r="E67">
        <v>1</v>
      </c>
      <c r="F67">
        <v>1</v>
      </c>
      <c r="G67">
        <v>15514512</v>
      </c>
      <c r="H67">
        <v>3</v>
      </c>
      <c r="I67" t="s">
        <v>37</v>
      </c>
      <c r="J67" t="s">
        <v>40</v>
      </c>
      <c r="K67" t="s">
        <v>38</v>
      </c>
      <c r="L67">
        <v>1339</v>
      </c>
      <c r="N67">
        <v>1007</v>
      </c>
      <c r="O67" t="s">
        <v>39</v>
      </c>
      <c r="P67" t="s">
        <v>39</v>
      </c>
      <c r="Q67">
        <v>1</v>
      </c>
      <c r="W67">
        <v>0</v>
      </c>
      <c r="X67">
        <v>2112060389</v>
      </c>
      <c r="Y67">
        <f>(AT67*2)</f>
        <v>0.02</v>
      </c>
      <c r="AA67">
        <v>54.81</v>
      </c>
      <c r="AB67">
        <v>0</v>
      </c>
      <c r="AC67">
        <v>0</v>
      </c>
      <c r="AD67">
        <v>0</v>
      </c>
      <c r="AE67">
        <v>54.81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0.01</v>
      </c>
      <c r="AU67" t="s">
        <v>181</v>
      </c>
      <c r="AV67">
        <v>0</v>
      </c>
      <c r="AW67">
        <v>2</v>
      </c>
      <c r="AX67">
        <v>80891712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ROUND(Y67*Source!I143,9)</f>
        <v>0.67700000000000005</v>
      </c>
      <c r="CY67">
        <f>AA67</f>
        <v>54.81</v>
      </c>
      <c r="CZ67">
        <f>AE67</f>
        <v>54.81</v>
      </c>
      <c r="DA67">
        <f>AI67</f>
        <v>1</v>
      </c>
      <c r="DB67">
        <f>ROUND((ROUND(AT67*CZ67,2)*2),6)</f>
        <v>1.1000000000000001</v>
      </c>
      <c r="DC67">
        <f>ROUND((ROUND(AT67*AG67,2)*2),6)</f>
        <v>0</v>
      </c>
      <c r="DD67" t="s">
        <v>3</v>
      </c>
      <c r="DE67" t="s">
        <v>3</v>
      </c>
      <c r="DF67">
        <f t="shared" si="11"/>
        <v>37.11</v>
      </c>
      <c r="DG67">
        <f t="shared" si="12"/>
        <v>0</v>
      </c>
      <c r="DH67">
        <f t="shared" si="13"/>
        <v>0</v>
      </c>
      <c r="DI67">
        <f t="shared" si="14"/>
        <v>0</v>
      </c>
      <c r="DJ67">
        <f>DF67</f>
        <v>37.11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5">
      <c r="A68">
        <f>ROW(Source!A143)</f>
        <v>143</v>
      </c>
      <c r="B68">
        <v>80891185</v>
      </c>
      <c r="C68">
        <v>80891705</v>
      </c>
      <c r="D68">
        <v>80217221</v>
      </c>
      <c r="E68">
        <v>1</v>
      </c>
      <c r="F68">
        <v>1</v>
      </c>
      <c r="G68">
        <v>15514512</v>
      </c>
      <c r="H68">
        <v>3</v>
      </c>
      <c r="I68" t="s">
        <v>237</v>
      </c>
      <c r="J68" t="s">
        <v>240</v>
      </c>
      <c r="K68" t="s">
        <v>238</v>
      </c>
      <c r="L68">
        <v>1296</v>
      </c>
      <c r="N68">
        <v>1002</v>
      </c>
      <c r="O68" t="s">
        <v>239</v>
      </c>
      <c r="P68" t="s">
        <v>239</v>
      </c>
      <c r="Q68">
        <v>1</v>
      </c>
      <c r="W68">
        <v>0</v>
      </c>
      <c r="X68">
        <v>1267865924</v>
      </c>
      <c r="Y68">
        <f>(AT68*2)</f>
        <v>0.2</v>
      </c>
      <c r="AA68">
        <v>947.97</v>
      </c>
      <c r="AB68">
        <v>0</v>
      </c>
      <c r="AC68">
        <v>0</v>
      </c>
      <c r="AD68">
        <v>0</v>
      </c>
      <c r="AE68">
        <v>947.97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0</v>
      </c>
      <c r="AN68">
        <v>0</v>
      </c>
      <c r="AO68">
        <v>0</v>
      </c>
      <c r="AP68">
        <v>1</v>
      </c>
      <c r="AQ68">
        <v>0</v>
      </c>
      <c r="AR68">
        <v>0</v>
      </c>
      <c r="AS68" t="s">
        <v>3</v>
      </c>
      <c r="AT68">
        <v>0.1</v>
      </c>
      <c r="AU68" t="s">
        <v>181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ROUND(Y68*Source!I143,9)</f>
        <v>6.77</v>
      </c>
      <c r="CY68">
        <f>AA68</f>
        <v>947.97</v>
      </c>
      <c r="CZ68">
        <f>AE68</f>
        <v>947.97</v>
      </c>
      <c r="DA68">
        <f>AI68</f>
        <v>1</v>
      </c>
      <c r="DB68">
        <f>ROUND((ROUND(AT68*CZ68,2)*2),6)</f>
        <v>189.6</v>
      </c>
      <c r="DC68">
        <f>ROUND((ROUND(AT68*AG68,2)*2),6)</f>
        <v>0</v>
      </c>
      <c r="DD68" t="s">
        <v>3</v>
      </c>
      <c r="DE68" t="s">
        <v>3</v>
      </c>
      <c r="DF68">
        <f t="shared" si="11"/>
        <v>6417.76</v>
      </c>
      <c r="DG68">
        <f t="shared" si="12"/>
        <v>0</v>
      </c>
      <c r="DH68">
        <f t="shared" si="13"/>
        <v>0</v>
      </c>
      <c r="DI68">
        <f t="shared" si="14"/>
        <v>0</v>
      </c>
      <c r="DJ68">
        <f>DF68</f>
        <v>6417.76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5">
      <c r="A69">
        <f>ROW(Source!A145)</f>
        <v>145</v>
      </c>
      <c r="B69">
        <v>80891185</v>
      </c>
      <c r="C69">
        <v>80891718</v>
      </c>
      <c r="D69">
        <v>80199986</v>
      </c>
      <c r="E69">
        <v>15514512</v>
      </c>
      <c r="F69">
        <v>1</v>
      </c>
      <c r="G69">
        <v>15514512</v>
      </c>
      <c r="H69">
        <v>1</v>
      </c>
      <c r="I69" t="s">
        <v>260</v>
      </c>
      <c r="J69" t="s">
        <v>3</v>
      </c>
      <c r="K69" t="s">
        <v>261</v>
      </c>
      <c r="L69">
        <v>1191</v>
      </c>
      <c r="N69">
        <v>1013</v>
      </c>
      <c r="O69" t="s">
        <v>262</v>
      </c>
      <c r="P69" t="s">
        <v>262</v>
      </c>
      <c r="Q69">
        <v>1</v>
      </c>
      <c r="W69">
        <v>0</v>
      </c>
      <c r="X69">
        <v>476480486</v>
      </c>
      <c r="Y69">
        <f>(AT69*3)</f>
        <v>4.26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1.42</v>
      </c>
      <c r="AU69" t="s">
        <v>245</v>
      </c>
      <c r="AV69">
        <v>1</v>
      </c>
      <c r="AW69">
        <v>2</v>
      </c>
      <c r="AX69">
        <v>80891720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ROUND(AT69*Source!I145*AH69*AL69,2)</f>
        <v>0</v>
      </c>
      <c r="CV69">
        <f>ROUND(Y69*Source!I145,9)</f>
        <v>144.20099999999999</v>
      </c>
      <c r="CW69">
        <v>0</v>
      </c>
      <c r="CX69">
        <f>ROUND(Y69*Source!I145,9)</f>
        <v>144.20099999999999</v>
      </c>
      <c r="CY69">
        <f>AD69</f>
        <v>0</v>
      </c>
      <c r="CZ69">
        <f>AH69</f>
        <v>0</v>
      </c>
      <c r="DA69">
        <f>AL69</f>
        <v>1</v>
      </c>
      <c r="DB69">
        <f>ROUND((ROUND(AT69*CZ69,2)*3),6)</f>
        <v>0</v>
      </c>
      <c r="DC69">
        <f>ROUND((ROUND(AT69*AG69,2)*3),6)</f>
        <v>0</v>
      </c>
      <c r="DD69" t="s">
        <v>3</v>
      </c>
      <c r="DE69" t="s">
        <v>3</v>
      </c>
      <c r="DF69">
        <f t="shared" si="11"/>
        <v>0</v>
      </c>
      <c r="DG69">
        <f t="shared" si="12"/>
        <v>0</v>
      </c>
      <c r="DH69">
        <f t="shared" si="13"/>
        <v>0</v>
      </c>
      <c r="DI69">
        <f t="shared" si="14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5">
      <c r="A70">
        <f>ROW(Source!A146)</f>
        <v>146</v>
      </c>
      <c r="B70">
        <v>80891185</v>
      </c>
      <c r="C70">
        <v>80891698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260</v>
      </c>
      <c r="J70" t="s">
        <v>3</v>
      </c>
      <c r="K70" t="s">
        <v>261</v>
      </c>
      <c r="L70">
        <v>1191</v>
      </c>
      <c r="N70">
        <v>1013</v>
      </c>
      <c r="O70" t="s">
        <v>262</v>
      </c>
      <c r="P70" t="s">
        <v>262</v>
      </c>
      <c r="Q70">
        <v>1</v>
      </c>
      <c r="W70">
        <v>0</v>
      </c>
      <c r="X70">
        <v>476480486</v>
      </c>
      <c r="Y70">
        <f>AT70</f>
        <v>0.56000000000000005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0.56000000000000005</v>
      </c>
      <c r="AU70" t="s">
        <v>3</v>
      </c>
      <c r="AV70">
        <v>1</v>
      </c>
      <c r="AW70">
        <v>2</v>
      </c>
      <c r="AX70">
        <v>80891702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ROUND(AT70*Source!I146*AH70*AL70,2)</f>
        <v>0</v>
      </c>
      <c r="CV70">
        <f>ROUND(Y70*Source!I146,9)</f>
        <v>8.2655999999999992</v>
      </c>
      <c r="CW70">
        <v>0</v>
      </c>
      <c r="CX70">
        <f>ROUND(Y70*Source!I146,9)</f>
        <v>8.2655999999999992</v>
      </c>
      <c r="CY70">
        <f>AD70</f>
        <v>0</v>
      </c>
      <c r="CZ70">
        <f>AH70</f>
        <v>0</v>
      </c>
      <c r="DA70">
        <f>AL70</f>
        <v>1</v>
      </c>
      <c r="DB70">
        <f>ROUND(ROUND(AT70*CZ70,2),6)</f>
        <v>0</v>
      </c>
      <c r="DC70">
        <f>ROUND(ROUND(AT70*AG70,2),6)</f>
        <v>0</v>
      </c>
      <c r="DD70" t="s">
        <v>3</v>
      </c>
      <c r="DE70" t="s">
        <v>3</v>
      </c>
      <c r="DF70">
        <f t="shared" si="11"/>
        <v>0</v>
      </c>
      <c r="DG70">
        <f t="shared" si="12"/>
        <v>0</v>
      </c>
      <c r="DH70">
        <f t="shared" si="13"/>
        <v>0</v>
      </c>
      <c r="DI70">
        <f t="shared" si="14"/>
        <v>0</v>
      </c>
      <c r="DJ70">
        <f>DI70</f>
        <v>0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5">
      <c r="A71">
        <f>ROW(Source!A146)</f>
        <v>146</v>
      </c>
      <c r="B71">
        <v>80891185</v>
      </c>
      <c r="C71">
        <v>80891698</v>
      </c>
      <c r="D71">
        <v>80212805</v>
      </c>
      <c r="E71">
        <v>1</v>
      </c>
      <c r="F71">
        <v>1</v>
      </c>
      <c r="G71">
        <v>15514512</v>
      </c>
      <c r="H71">
        <v>2</v>
      </c>
      <c r="I71" t="s">
        <v>303</v>
      </c>
      <c r="J71" t="s">
        <v>304</v>
      </c>
      <c r="K71" t="s">
        <v>305</v>
      </c>
      <c r="L71">
        <v>1368</v>
      </c>
      <c r="N71">
        <v>1011</v>
      </c>
      <c r="O71" t="s">
        <v>259</v>
      </c>
      <c r="P71" t="s">
        <v>259</v>
      </c>
      <c r="Q71">
        <v>1</v>
      </c>
      <c r="W71">
        <v>0</v>
      </c>
      <c r="X71">
        <v>-1652508930</v>
      </c>
      <c r="Y71">
        <f>AT71</f>
        <v>0.3</v>
      </c>
      <c r="AA71">
        <v>0</v>
      </c>
      <c r="AB71">
        <v>2997.56</v>
      </c>
      <c r="AC71">
        <v>1034.8599999999999</v>
      </c>
      <c r="AD71">
        <v>0</v>
      </c>
      <c r="AE71">
        <v>0</v>
      </c>
      <c r="AF71">
        <v>2997.56</v>
      </c>
      <c r="AG71">
        <v>1034.8599999999999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0.3</v>
      </c>
      <c r="AU71" t="s">
        <v>3</v>
      </c>
      <c r="AV71">
        <v>0</v>
      </c>
      <c r="AW71">
        <v>2</v>
      </c>
      <c r="AX71">
        <v>80891703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ROUND(Y71*Source!I146*DO71,9)</f>
        <v>0</v>
      </c>
      <c r="CX71">
        <f>ROUND(Y71*Source!I146,9)</f>
        <v>4.4279999999999999</v>
      </c>
      <c r="CY71">
        <f>AB71</f>
        <v>2997.56</v>
      </c>
      <c r="CZ71">
        <f>AF71</f>
        <v>2997.56</v>
      </c>
      <c r="DA71">
        <f>AJ71</f>
        <v>1</v>
      </c>
      <c r="DB71">
        <f>ROUND(ROUND(AT71*CZ71,2),6)</f>
        <v>899.27</v>
      </c>
      <c r="DC71">
        <f>ROUND(ROUND(AT71*AG71,2),6)</f>
        <v>310.45999999999998</v>
      </c>
      <c r="DD71" t="s">
        <v>3</v>
      </c>
      <c r="DE71" t="s">
        <v>3</v>
      </c>
      <c r="DF71">
        <f t="shared" si="11"/>
        <v>0</v>
      </c>
      <c r="DG71">
        <f t="shared" si="12"/>
        <v>13273.2</v>
      </c>
      <c r="DH71">
        <f t="shared" si="13"/>
        <v>4582.3599999999997</v>
      </c>
      <c r="DI71">
        <f t="shared" si="14"/>
        <v>0</v>
      </c>
      <c r="DJ71">
        <f>DG71</f>
        <v>13273.2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5">
      <c r="A72">
        <f>ROW(Source!A146)</f>
        <v>146</v>
      </c>
      <c r="B72">
        <v>80891185</v>
      </c>
      <c r="C72">
        <v>80891698</v>
      </c>
      <c r="D72">
        <v>80215470</v>
      </c>
      <c r="E72">
        <v>1</v>
      </c>
      <c r="F72">
        <v>1</v>
      </c>
      <c r="G72">
        <v>15514512</v>
      </c>
      <c r="H72">
        <v>3</v>
      </c>
      <c r="I72" t="s">
        <v>37</v>
      </c>
      <c r="J72" t="s">
        <v>40</v>
      </c>
      <c r="K72" t="s">
        <v>38</v>
      </c>
      <c r="L72">
        <v>1339</v>
      </c>
      <c r="N72">
        <v>1007</v>
      </c>
      <c r="O72" t="s">
        <v>39</v>
      </c>
      <c r="P72" t="s">
        <v>39</v>
      </c>
      <c r="Q72">
        <v>1</v>
      </c>
      <c r="W72">
        <v>0</v>
      </c>
      <c r="X72">
        <v>2112060389</v>
      </c>
      <c r="Y72">
        <f>AT72</f>
        <v>1</v>
      </c>
      <c r="AA72">
        <v>54.81</v>
      </c>
      <c r="AB72">
        <v>0</v>
      </c>
      <c r="AC72">
        <v>0</v>
      </c>
      <c r="AD72">
        <v>0</v>
      </c>
      <c r="AE72">
        <v>54.81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</v>
      </c>
      <c r="AU72" t="s">
        <v>3</v>
      </c>
      <c r="AV72">
        <v>0</v>
      </c>
      <c r="AW72">
        <v>2</v>
      </c>
      <c r="AX72">
        <v>80891704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ROUND(Y72*Source!I146,9)</f>
        <v>14.76</v>
      </c>
      <c r="CY72">
        <f>AA72</f>
        <v>54.81</v>
      </c>
      <c r="CZ72">
        <f>AE72</f>
        <v>54.81</v>
      </c>
      <c r="DA72">
        <f>AI72</f>
        <v>1</v>
      </c>
      <c r="DB72">
        <f>ROUND(ROUND(AT72*CZ72,2),6)</f>
        <v>54.81</v>
      </c>
      <c r="DC72">
        <f>ROUND(ROUND(AT72*AG72,2),6)</f>
        <v>0</v>
      </c>
      <c r="DD72" t="s">
        <v>3</v>
      </c>
      <c r="DE72" t="s">
        <v>3</v>
      </c>
      <c r="DF72">
        <f t="shared" si="11"/>
        <v>809</v>
      </c>
      <c r="DG72">
        <f t="shared" si="12"/>
        <v>0</v>
      </c>
      <c r="DH72">
        <f t="shared" si="13"/>
        <v>0</v>
      </c>
      <c r="DI72">
        <f t="shared" si="14"/>
        <v>0</v>
      </c>
      <c r="DJ72">
        <f>DF72</f>
        <v>809</v>
      </c>
      <c r="DK72">
        <v>0</v>
      </c>
      <c r="DL72" t="s">
        <v>3</v>
      </c>
      <c r="DM72">
        <v>0</v>
      </c>
      <c r="DN72" t="s">
        <v>3</v>
      </c>
      <c r="DO7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11067-5137-44DE-B7C2-BA6724CBB9D1}">
  <dimension ref="A1:AR7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80891565</v>
      </c>
      <c r="C1">
        <v>80891372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256</v>
      </c>
      <c r="J1" t="s">
        <v>257</v>
      </c>
      <c r="K1" t="s">
        <v>258</v>
      </c>
      <c r="L1">
        <v>1368</v>
      </c>
      <c r="N1">
        <v>1011</v>
      </c>
      <c r="O1" t="s">
        <v>259</v>
      </c>
      <c r="P1" t="s">
        <v>259</v>
      </c>
      <c r="Q1">
        <v>1</v>
      </c>
      <c r="X1">
        <v>0.5</v>
      </c>
      <c r="Y1">
        <v>0</v>
      </c>
      <c r="Z1">
        <v>2515.98</v>
      </c>
      <c r="AA1">
        <v>872.98</v>
      </c>
      <c r="AB1">
        <v>0</v>
      </c>
      <c r="AC1">
        <v>0</v>
      </c>
      <c r="AD1">
        <v>1</v>
      </c>
      <c r="AE1">
        <v>0</v>
      </c>
      <c r="AF1" t="s">
        <v>22</v>
      </c>
      <c r="AG1">
        <v>27.5</v>
      </c>
      <c r="AH1">
        <v>2</v>
      </c>
      <c r="AI1">
        <v>80891565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ROW(Source!A33)</f>
        <v>33</v>
      </c>
      <c r="B2">
        <v>80891566</v>
      </c>
      <c r="C2">
        <v>80891373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260</v>
      </c>
      <c r="J2" t="s">
        <v>3</v>
      </c>
      <c r="K2" t="s">
        <v>261</v>
      </c>
      <c r="L2">
        <v>1191</v>
      </c>
      <c r="N2">
        <v>1013</v>
      </c>
      <c r="O2" t="s">
        <v>262</v>
      </c>
      <c r="P2" t="s">
        <v>262</v>
      </c>
      <c r="Q2">
        <v>1</v>
      </c>
      <c r="X2">
        <v>0.65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35.75</v>
      </c>
      <c r="AH2">
        <v>2</v>
      </c>
      <c r="AI2">
        <v>80891566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ROW(Source!A34)</f>
        <v>34</v>
      </c>
      <c r="B3">
        <v>80891567</v>
      </c>
      <c r="C3">
        <v>80891374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263</v>
      </c>
      <c r="J3" t="s">
        <v>264</v>
      </c>
      <c r="K3" t="s">
        <v>265</v>
      </c>
      <c r="L3">
        <v>1368</v>
      </c>
      <c r="N3">
        <v>1011</v>
      </c>
      <c r="O3" t="s">
        <v>259</v>
      </c>
      <c r="P3" t="s">
        <v>259</v>
      </c>
      <c r="Q3">
        <v>1</v>
      </c>
      <c r="X3">
        <v>0.26</v>
      </c>
      <c r="Y3">
        <v>0</v>
      </c>
      <c r="Z3">
        <v>1783.28</v>
      </c>
      <c r="AA3">
        <v>842.87</v>
      </c>
      <c r="AB3">
        <v>0</v>
      </c>
      <c r="AC3">
        <v>0</v>
      </c>
      <c r="AD3">
        <v>1</v>
      </c>
      <c r="AE3">
        <v>0</v>
      </c>
      <c r="AF3" t="s">
        <v>35</v>
      </c>
      <c r="AG3">
        <v>28.86</v>
      </c>
      <c r="AH3">
        <v>2</v>
      </c>
      <c r="AI3">
        <v>80891567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ROW(Source!A34)</f>
        <v>34</v>
      </c>
      <c r="B4">
        <v>80891568</v>
      </c>
      <c r="C4">
        <v>80891374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X4">
        <v>0.2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22.200000000000003</v>
      </c>
      <c r="AH4">
        <v>2</v>
      </c>
      <c r="AI4">
        <v>80891568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ROW(Source!A36)</f>
        <v>36</v>
      </c>
      <c r="B5">
        <v>80891688</v>
      </c>
      <c r="C5">
        <v>80891687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260</v>
      </c>
      <c r="J5" t="s">
        <v>3</v>
      </c>
      <c r="K5" t="s">
        <v>261</v>
      </c>
      <c r="L5">
        <v>1191</v>
      </c>
      <c r="N5">
        <v>1013</v>
      </c>
      <c r="O5" t="s">
        <v>262</v>
      </c>
      <c r="P5" t="s">
        <v>262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35</v>
      </c>
      <c r="AG5">
        <v>15.540000000000001</v>
      </c>
      <c r="AH5">
        <v>2</v>
      </c>
      <c r="AI5">
        <v>80891688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ROW(Source!A37)</f>
        <v>37</v>
      </c>
      <c r="B6">
        <v>80891676</v>
      </c>
      <c r="C6">
        <v>80891672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260</v>
      </c>
      <c r="J6" t="s">
        <v>3</v>
      </c>
      <c r="K6" t="s">
        <v>261</v>
      </c>
      <c r="L6">
        <v>1191</v>
      </c>
      <c r="N6">
        <v>1013</v>
      </c>
      <c r="O6" t="s">
        <v>262</v>
      </c>
      <c r="P6" t="s">
        <v>262</v>
      </c>
      <c r="Q6">
        <v>1</v>
      </c>
      <c r="X6">
        <v>0.02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49</v>
      </c>
      <c r="AG6">
        <v>1</v>
      </c>
      <c r="AH6">
        <v>2</v>
      </c>
      <c r="AI6">
        <v>80891673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ROW(Source!A37)</f>
        <v>37</v>
      </c>
      <c r="B7">
        <v>80891677</v>
      </c>
      <c r="C7">
        <v>80891672</v>
      </c>
      <c r="D7">
        <v>80213219</v>
      </c>
      <c r="E7">
        <v>1</v>
      </c>
      <c r="F7">
        <v>1</v>
      </c>
      <c r="G7">
        <v>15514512</v>
      </c>
      <c r="H7">
        <v>2</v>
      </c>
      <c r="I7" t="s">
        <v>266</v>
      </c>
      <c r="J7" t="s">
        <v>267</v>
      </c>
      <c r="K7" t="s">
        <v>268</v>
      </c>
      <c r="L7">
        <v>1368</v>
      </c>
      <c r="N7">
        <v>1011</v>
      </c>
      <c r="O7" t="s">
        <v>259</v>
      </c>
      <c r="P7" t="s">
        <v>259</v>
      </c>
      <c r="Q7">
        <v>1</v>
      </c>
      <c r="X7">
        <v>0.08</v>
      </c>
      <c r="Y7">
        <v>0</v>
      </c>
      <c r="Z7">
        <v>1988.28</v>
      </c>
      <c r="AA7">
        <v>838.86</v>
      </c>
      <c r="AB7">
        <v>0</v>
      </c>
      <c r="AC7">
        <v>0</v>
      </c>
      <c r="AD7">
        <v>1</v>
      </c>
      <c r="AE7">
        <v>0</v>
      </c>
      <c r="AF7" t="s">
        <v>49</v>
      </c>
      <c r="AG7">
        <v>4</v>
      </c>
      <c r="AH7">
        <v>2</v>
      </c>
      <c r="AI7">
        <v>80891674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ROW(Source!A37)</f>
        <v>37</v>
      </c>
      <c r="B8">
        <v>80891678</v>
      </c>
      <c r="C8">
        <v>80891672</v>
      </c>
      <c r="D8">
        <v>80216195</v>
      </c>
      <c r="E8">
        <v>1</v>
      </c>
      <c r="F8">
        <v>1</v>
      </c>
      <c r="G8">
        <v>15514512</v>
      </c>
      <c r="H8">
        <v>3</v>
      </c>
      <c r="I8" t="s">
        <v>269</v>
      </c>
      <c r="J8" t="s">
        <v>270</v>
      </c>
      <c r="K8" t="s">
        <v>271</v>
      </c>
      <c r="L8">
        <v>1346</v>
      </c>
      <c r="N8">
        <v>1009</v>
      </c>
      <c r="O8" t="s">
        <v>215</v>
      </c>
      <c r="P8" t="s">
        <v>215</v>
      </c>
      <c r="Q8">
        <v>1</v>
      </c>
      <c r="X8">
        <v>50</v>
      </c>
      <c r="Y8">
        <v>27.3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49</v>
      </c>
      <c r="AG8">
        <v>2500</v>
      </c>
      <c r="AH8">
        <v>2</v>
      </c>
      <c r="AI8">
        <v>80891675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ROW(Source!A38)</f>
        <v>38</v>
      </c>
      <c r="B9">
        <v>80891576</v>
      </c>
      <c r="C9">
        <v>80891379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260</v>
      </c>
      <c r="J9" t="s">
        <v>3</v>
      </c>
      <c r="K9" t="s">
        <v>261</v>
      </c>
      <c r="L9">
        <v>1191</v>
      </c>
      <c r="N9">
        <v>1013</v>
      </c>
      <c r="O9" t="s">
        <v>262</v>
      </c>
      <c r="P9" t="s">
        <v>262</v>
      </c>
      <c r="Q9">
        <v>1</v>
      </c>
      <c r="X9">
        <v>0.3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49</v>
      </c>
      <c r="AG9">
        <v>15</v>
      </c>
      <c r="AH9">
        <v>2</v>
      </c>
      <c r="AI9">
        <v>80891576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ROW(Source!A38)</f>
        <v>38</v>
      </c>
      <c r="B10">
        <v>80891577</v>
      </c>
      <c r="C10">
        <v>80891379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269</v>
      </c>
      <c r="J10" t="s">
        <v>270</v>
      </c>
      <c r="K10" t="s">
        <v>271</v>
      </c>
      <c r="L10">
        <v>1346</v>
      </c>
      <c r="N10">
        <v>1009</v>
      </c>
      <c r="O10" t="s">
        <v>215</v>
      </c>
      <c r="P10" t="s">
        <v>215</v>
      </c>
      <c r="Q10">
        <v>1</v>
      </c>
      <c r="X10">
        <v>5</v>
      </c>
      <c r="Y10">
        <v>27.3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49</v>
      </c>
      <c r="AG10">
        <v>250</v>
      </c>
      <c r="AH10">
        <v>2</v>
      </c>
      <c r="AI10">
        <v>80891577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ROW(Source!A39)</f>
        <v>39</v>
      </c>
      <c r="B11">
        <v>80891581</v>
      </c>
      <c r="C11">
        <v>80891381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260</v>
      </c>
      <c r="J11" t="s">
        <v>3</v>
      </c>
      <c r="K11" t="s">
        <v>261</v>
      </c>
      <c r="L11">
        <v>1191</v>
      </c>
      <c r="N11">
        <v>1013</v>
      </c>
      <c r="O11" t="s">
        <v>262</v>
      </c>
      <c r="P11" t="s">
        <v>262</v>
      </c>
      <c r="Q11">
        <v>1</v>
      </c>
      <c r="X11">
        <v>2.41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58</v>
      </c>
      <c r="AG11">
        <v>48.2</v>
      </c>
      <c r="AH11">
        <v>2</v>
      </c>
      <c r="AI11">
        <v>80891581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ROW(Source!A40)</f>
        <v>40</v>
      </c>
      <c r="B12">
        <v>80891682</v>
      </c>
      <c r="C12">
        <v>80891679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260</v>
      </c>
      <c r="J12" t="s">
        <v>3</v>
      </c>
      <c r="K12" t="s">
        <v>261</v>
      </c>
      <c r="L12">
        <v>1191</v>
      </c>
      <c r="N12">
        <v>1013</v>
      </c>
      <c r="O12" t="s">
        <v>262</v>
      </c>
      <c r="P12" t="s">
        <v>262</v>
      </c>
      <c r="Q12">
        <v>1</v>
      </c>
      <c r="X12">
        <v>0.37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0.37</v>
      </c>
      <c r="AH12">
        <v>2</v>
      </c>
      <c r="AI12">
        <v>80891680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ROW(Source!A40)</f>
        <v>40</v>
      </c>
      <c r="B13">
        <v>80891683</v>
      </c>
      <c r="C13">
        <v>80891679</v>
      </c>
      <c r="D13">
        <v>80212784</v>
      </c>
      <c r="E13">
        <v>1</v>
      </c>
      <c r="F13">
        <v>1</v>
      </c>
      <c r="G13">
        <v>15514512</v>
      </c>
      <c r="H13">
        <v>2</v>
      </c>
      <c r="I13" t="s">
        <v>272</v>
      </c>
      <c r="J13" t="s">
        <v>273</v>
      </c>
      <c r="K13" t="s">
        <v>274</v>
      </c>
      <c r="L13">
        <v>1368</v>
      </c>
      <c r="N13">
        <v>1011</v>
      </c>
      <c r="O13" t="s">
        <v>259</v>
      </c>
      <c r="P13" t="s">
        <v>259</v>
      </c>
      <c r="Q13">
        <v>1</v>
      </c>
      <c r="X13">
        <v>0.34</v>
      </c>
      <c r="Y13">
        <v>0</v>
      </c>
      <c r="Z13">
        <v>2097.0700000000002</v>
      </c>
      <c r="AA13">
        <v>1028.7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0.34</v>
      </c>
      <c r="AH13">
        <v>2</v>
      </c>
      <c r="AI13">
        <v>80891681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ROW(Source!A41)</f>
        <v>41</v>
      </c>
      <c r="B14">
        <v>80891686</v>
      </c>
      <c r="C14">
        <v>80891684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272</v>
      </c>
      <c r="J14" t="s">
        <v>273</v>
      </c>
      <c r="K14" t="s">
        <v>274</v>
      </c>
      <c r="L14">
        <v>1368</v>
      </c>
      <c r="N14">
        <v>1011</v>
      </c>
      <c r="O14" t="s">
        <v>259</v>
      </c>
      <c r="P14" t="s">
        <v>259</v>
      </c>
      <c r="Q14">
        <v>1</v>
      </c>
      <c r="X14">
        <v>0.09</v>
      </c>
      <c r="Y14">
        <v>0</v>
      </c>
      <c r="Z14">
        <v>2097.0700000000002</v>
      </c>
      <c r="AA14">
        <v>1028.7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0.09</v>
      </c>
      <c r="AH14">
        <v>2</v>
      </c>
      <c r="AI14">
        <v>80891685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ROW(Source!A42)</f>
        <v>42</v>
      </c>
      <c r="B15">
        <v>80891668</v>
      </c>
      <c r="C15">
        <v>80891666</v>
      </c>
      <c r="D15">
        <v>80199986</v>
      </c>
      <c r="E15">
        <v>15514512</v>
      </c>
      <c r="F15">
        <v>1</v>
      </c>
      <c r="G15">
        <v>15514512</v>
      </c>
      <c r="H15">
        <v>1</v>
      </c>
      <c r="I15" t="s">
        <v>260</v>
      </c>
      <c r="J15" t="s">
        <v>3</v>
      </c>
      <c r="K15" t="s">
        <v>261</v>
      </c>
      <c r="L15">
        <v>1191</v>
      </c>
      <c r="N15">
        <v>1013</v>
      </c>
      <c r="O15" t="s">
        <v>262</v>
      </c>
      <c r="P15" t="s">
        <v>262</v>
      </c>
      <c r="Q15">
        <v>1</v>
      </c>
      <c r="X15">
        <v>0.24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1</v>
      </c>
      <c r="AF15" t="s">
        <v>22</v>
      </c>
      <c r="AG15">
        <v>13.2</v>
      </c>
      <c r="AH15">
        <v>2</v>
      </c>
      <c r="AI15">
        <v>80891667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ROW(Source!A43)</f>
        <v>43</v>
      </c>
      <c r="B16">
        <v>80891691</v>
      </c>
      <c r="C16">
        <v>80891689</v>
      </c>
      <c r="D16">
        <v>80199986</v>
      </c>
      <c r="E16">
        <v>15514512</v>
      </c>
      <c r="F16">
        <v>1</v>
      </c>
      <c r="G16">
        <v>15514512</v>
      </c>
      <c r="H16">
        <v>1</v>
      </c>
      <c r="I16" t="s">
        <v>260</v>
      </c>
      <c r="J16" t="s">
        <v>3</v>
      </c>
      <c r="K16" t="s">
        <v>261</v>
      </c>
      <c r="L16">
        <v>1191</v>
      </c>
      <c r="N16">
        <v>1013</v>
      </c>
      <c r="O16" t="s">
        <v>262</v>
      </c>
      <c r="P16" t="s">
        <v>262</v>
      </c>
      <c r="Q16">
        <v>1</v>
      </c>
      <c r="X16">
        <v>3.81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22</v>
      </c>
      <c r="AG16">
        <v>209.55</v>
      </c>
      <c r="AH16">
        <v>2</v>
      </c>
      <c r="AI16">
        <v>80891690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ROW(Source!A44)</f>
        <v>44</v>
      </c>
      <c r="B17">
        <v>80891585</v>
      </c>
      <c r="C17">
        <v>80891384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260</v>
      </c>
      <c r="J17" t="s">
        <v>3</v>
      </c>
      <c r="K17" t="s">
        <v>261</v>
      </c>
      <c r="L17">
        <v>1191</v>
      </c>
      <c r="N17">
        <v>1013</v>
      </c>
      <c r="O17" t="s">
        <v>262</v>
      </c>
      <c r="P17" t="s">
        <v>262</v>
      </c>
      <c r="Q17">
        <v>1</v>
      </c>
      <c r="X17">
        <v>2.81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49</v>
      </c>
      <c r="AG17">
        <v>140.5</v>
      </c>
      <c r="AH17">
        <v>2</v>
      </c>
      <c r="AI17">
        <v>80891585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ROW(Source!A45)</f>
        <v>45</v>
      </c>
      <c r="B18">
        <v>80891586</v>
      </c>
      <c r="C18">
        <v>80891385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260</v>
      </c>
      <c r="J18" t="s">
        <v>3</v>
      </c>
      <c r="K18" t="s">
        <v>261</v>
      </c>
      <c r="L18">
        <v>1191</v>
      </c>
      <c r="N18">
        <v>1013</v>
      </c>
      <c r="O18" t="s">
        <v>262</v>
      </c>
      <c r="P18" t="s">
        <v>262</v>
      </c>
      <c r="Q18">
        <v>1</v>
      </c>
      <c r="X18">
        <v>2.41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85</v>
      </c>
      <c r="AG18">
        <v>400.06</v>
      </c>
      <c r="AH18">
        <v>2</v>
      </c>
      <c r="AI18">
        <v>80891586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ROW(Source!A45)</f>
        <v>45</v>
      </c>
      <c r="B19">
        <v>80891587</v>
      </c>
      <c r="C19">
        <v>80891385</v>
      </c>
      <c r="D19">
        <v>80215860</v>
      </c>
      <c r="E19">
        <v>1</v>
      </c>
      <c r="F19">
        <v>1</v>
      </c>
      <c r="G19">
        <v>15514512</v>
      </c>
      <c r="H19">
        <v>3</v>
      </c>
      <c r="I19" t="s">
        <v>275</v>
      </c>
      <c r="J19" t="s">
        <v>276</v>
      </c>
      <c r="K19" t="s">
        <v>277</v>
      </c>
      <c r="L19">
        <v>1354</v>
      </c>
      <c r="N19">
        <v>1010</v>
      </c>
      <c r="O19" t="s">
        <v>278</v>
      </c>
      <c r="P19" t="s">
        <v>278</v>
      </c>
      <c r="Q19">
        <v>1</v>
      </c>
      <c r="X19">
        <v>100</v>
      </c>
      <c r="Y19">
        <v>2.75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85</v>
      </c>
      <c r="AG19">
        <v>16600</v>
      </c>
      <c r="AH19">
        <v>2</v>
      </c>
      <c r="AI19">
        <v>80891587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ROW(Source!A46)</f>
        <v>46</v>
      </c>
      <c r="B20">
        <v>80891593</v>
      </c>
      <c r="C20">
        <v>80891387</v>
      </c>
      <c r="D20">
        <v>80199986</v>
      </c>
      <c r="E20">
        <v>15514512</v>
      </c>
      <c r="F20">
        <v>1</v>
      </c>
      <c r="G20">
        <v>15514512</v>
      </c>
      <c r="H20">
        <v>1</v>
      </c>
      <c r="I20" t="s">
        <v>260</v>
      </c>
      <c r="J20" t="s">
        <v>3</v>
      </c>
      <c r="K20" t="s">
        <v>261</v>
      </c>
      <c r="L20">
        <v>1191</v>
      </c>
      <c r="N20">
        <v>1013</v>
      </c>
      <c r="O20" t="s">
        <v>262</v>
      </c>
      <c r="P20" t="s">
        <v>262</v>
      </c>
      <c r="Q20">
        <v>1</v>
      </c>
      <c r="X20">
        <v>0.23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1</v>
      </c>
      <c r="AF20" t="s">
        <v>3</v>
      </c>
      <c r="AG20">
        <v>0.23</v>
      </c>
      <c r="AH20">
        <v>2</v>
      </c>
      <c r="AI20">
        <v>80891593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ROW(Source!A47)</f>
        <v>47</v>
      </c>
      <c r="B21">
        <v>80891594</v>
      </c>
      <c r="C21">
        <v>80891388</v>
      </c>
      <c r="D21">
        <v>80199986</v>
      </c>
      <c r="E21">
        <v>15514512</v>
      </c>
      <c r="F21">
        <v>1</v>
      </c>
      <c r="G21">
        <v>15514512</v>
      </c>
      <c r="H21">
        <v>1</v>
      </c>
      <c r="I21" t="s">
        <v>260</v>
      </c>
      <c r="J21" t="s">
        <v>3</v>
      </c>
      <c r="K21" t="s">
        <v>261</v>
      </c>
      <c r="L21">
        <v>1191</v>
      </c>
      <c r="N21">
        <v>1013</v>
      </c>
      <c r="O21" t="s">
        <v>262</v>
      </c>
      <c r="P21" t="s">
        <v>262</v>
      </c>
      <c r="Q21">
        <v>1</v>
      </c>
      <c r="X21">
        <v>3.09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85</v>
      </c>
      <c r="AG21">
        <v>512.93999999999994</v>
      </c>
      <c r="AH21">
        <v>2</v>
      </c>
      <c r="AI21">
        <v>80891594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ROW(Source!A83)</f>
        <v>83</v>
      </c>
      <c r="B22">
        <v>80891595</v>
      </c>
      <c r="C22">
        <v>80891447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263</v>
      </c>
      <c r="J22" t="s">
        <v>264</v>
      </c>
      <c r="K22" t="s">
        <v>265</v>
      </c>
      <c r="L22">
        <v>1368</v>
      </c>
      <c r="N22">
        <v>1011</v>
      </c>
      <c r="O22" t="s">
        <v>259</v>
      </c>
      <c r="P22" t="s">
        <v>259</v>
      </c>
      <c r="Q22">
        <v>1</v>
      </c>
      <c r="X22">
        <v>0.26</v>
      </c>
      <c r="Y22">
        <v>0</v>
      </c>
      <c r="Z22">
        <v>1783.28</v>
      </c>
      <c r="AA22">
        <v>842.87</v>
      </c>
      <c r="AB22">
        <v>0</v>
      </c>
      <c r="AC22">
        <v>0</v>
      </c>
      <c r="AD22">
        <v>1</v>
      </c>
      <c r="AE22">
        <v>0</v>
      </c>
      <c r="AF22" t="s">
        <v>149</v>
      </c>
      <c r="AG22">
        <v>44.46</v>
      </c>
      <c r="AH22">
        <v>2</v>
      </c>
      <c r="AI22">
        <v>80891595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ROW(Source!A83)</f>
        <v>83</v>
      </c>
      <c r="B23">
        <v>80891596</v>
      </c>
      <c r="C23">
        <v>80891447</v>
      </c>
      <c r="D23">
        <v>80215470</v>
      </c>
      <c r="E23">
        <v>1</v>
      </c>
      <c r="F23">
        <v>1</v>
      </c>
      <c r="G23">
        <v>15514512</v>
      </c>
      <c r="H23">
        <v>3</v>
      </c>
      <c r="I23" t="s">
        <v>37</v>
      </c>
      <c r="J23" t="s">
        <v>40</v>
      </c>
      <c r="K23" t="s">
        <v>38</v>
      </c>
      <c r="L23">
        <v>1339</v>
      </c>
      <c r="N23">
        <v>1007</v>
      </c>
      <c r="O23" t="s">
        <v>39</v>
      </c>
      <c r="P23" t="s">
        <v>39</v>
      </c>
      <c r="Q23">
        <v>1</v>
      </c>
      <c r="X23">
        <v>0.2</v>
      </c>
      <c r="Y23">
        <v>54.81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149</v>
      </c>
      <c r="AG23">
        <v>34.200000000000003</v>
      </c>
      <c r="AH23">
        <v>2</v>
      </c>
      <c r="AI23">
        <v>80891596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ROW(Source!A85)</f>
        <v>85</v>
      </c>
      <c r="B24">
        <v>80891598</v>
      </c>
      <c r="C24">
        <v>80891448</v>
      </c>
      <c r="D24">
        <v>80199986</v>
      </c>
      <c r="E24">
        <v>15514512</v>
      </c>
      <c r="F24">
        <v>1</v>
      </c>
      <c r="G24">
        <v>15514512</v>
      </c>
      <c r="H24">
        <v>1</v>
      </c>
      <c r="I24" t="s">
        <v>260</v>
      </c>
      <c r="J24" t="s">
        <v>3</v>
      </c>
      <c r="K24" t="s">
        <v>261</v>
      </c>
      <c r="L24">
        <v>1191</v>
      </c>
      <c r="N24">
        <v>1013</v>
      </c>
      <c r="O24" t="s">
        <v>262</v>
      </c>
      <c r="P24" t="s">
        <v>262</v>
      </c>
      <c r="Q24">
        <v>1</v>
      </c>
      <c r="X24">
        <v>0.14000000000000001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1</v>
      </c>
      <c r="AF24" t="s">
        <v>149</v>
      </c>
      <c r="AG24">
        <v>23.94</v>
      </c>
      <c r="AH24">
        <v>2</v>
      </c>
      <c r="AI24">
        <v>80891598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ROW(Source!A86)</f>
        <v>86</v>
      </c>
      <c r="B25">
        <v>80891602</v>
      </c>
      <c r="C25">
        <v>80891451</v>
      </c>
      <c r="D25">
        <v>80213221</v>
      </c>
      <c r="E25">
        <v>1</v>
      </c>
      <c r="F25">
        <v>1</v>
      </c>
      <c r="G25">
        <v>15514512</v>
      </c>
      <c r="H25">
        <v>2</v>
      </c>
      <c r="I25" t="s">
        <v>263</v>
      </c>
      <c r="J25" t="s">
        <v>264</v>
      </c>
      <c r="K25" t="s">
        <v>265</v>
      </c>
      <c r="L25">
        <v>1368</v>
      </c>
      <c r="N25">
        <v>1011</v>
      </c>
      <c r="O25" t="s">
        <v>259</v>
      </c>
      <c r="P25" t="s">
        <v>259</v>
      </c>
      <c r="Q25">
        <v>1</v>
      </c>
      <c r="X25">
        <v>0.42</v>
      </c>
      <c r="Y25">
        <v>0</v>
      </c>
      <c r="Z25">
        <v>1783.28</v>
      </c>
      <c r="AA25">
        <v>842.87</v>
      </c>
      <c r="AB25">
        <v>0</v>
      </c>
      <c r="AC25">
        <v>0</v>
      </c>
      <c r="AD25">
        <v>1</v>
      </c>
      <c r="AE25">
        <v>0</v>
      </c>
      <c r="AF25" t="s">
        <v>156</v>
      </c>
      <c r="AG25">
        <v>5.88</v>
      </c>
      <c r="AH25">
        <v>2</v>
      </c>
      <c r="AI25">
        <v>80891602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ROW(Source!A86)</f>
        <v>86</v>
      </c>
      <c r="B26">
        <v>80891603</v>
      </c>
      <c r="C26">
        <v>80891451</v>
      </c>
      <c r="D26">
        <v>80215470</v>
      </c>
      <c r="E26">
        <v>1</v>
      </c>
      <c r="F26">
        <v>1</v>
      </c>
      <c r="G26">
        <v>15514512</v>
      </c>
      <c r="H26">
        <v>3</v>
      </c>
      <c r="I26" t="s">
        <v>37</v>
      </c>
      <c r="J26" t="s">
        <v>40</v>
      </c>
      <c r="K26" t="s">
        <v>38</v>
      </c>
      <c r="L26">
        <v>1339</v>
      </c>
      <c r="N26">
        <v>1007</v>
      </c>
      <c r="O26" t="s">
        <v>39</v>
      </c>
      <c r="P26" t="s">
        <v>39</v>
      </c>
      <c r="Q26">
        <v>1</v>
      </c>
      <c r="X26">
        <v>0.35</v>
      </c>
      <c r="Y26">
        <v>54.81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156</v>
      </c>
      <c r="AG26">
        <v>4.8999999999999995</v>
      </c>
      <c r="AH26">
        <v>2</v>
      </c>
      <c r="AI26">
        <v>80891603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ROW(Source!A88)</f>
        <v>88</v>
      </c>
      <c r="B27">
        <v>80891609</v>
      </c>
      <c r="C27">
        <v>80891453</v>
      </c>
      <c r="D27">
        <v>80199986</v>
      </c>
      <c r="E27">
        <v>15514512</v>
      </c>
      <c r="F27">
        <v>1</v>
      </c>
      <c r="G27">
        <v>15514512</v>
      </c>
      <c r="H27">
        <v>1</v>
      </c>
      <c r="I27" t="s">
        <v>260</v>
      </c>
      <c r="J27" t="s">
        <v>3</v>
      </c>
      <c r="K27" t="s">
        <v>261</v>
      </c>
      <c r="L27">
        <v>1191</v>
      </c>
      <c r="N27">
        <v>1013</v>
      </c>
      <c r="O27" t="s">
        <v>262</v>
      </c>
      <c r="P27" t="s">
        <v>262</v>
      </c>
      <c r="Q27">
        <v>1</v>
      </c>
      <c r="X27">
        <v>5.25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162</v>
      </c>
      <c r="AG27">
        <v>99.75</v>
      </c>
      <c r="AH27">
        <v>2</v>
      </c>
      <c r="AI27">
        <v>80891609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ROW(Source!A88)</f>
        <v>88</v>
      </c>
      <c r="B28">
        <v>80891610</v>
      </c>
      <c r="C28">
        <v>80891453</v>
      </c>
      <c r="D28">
        <v>80215377</v>
      </c>
      <c r="E28">
        <v>1</v>
      </c>
      <c r="F28">
        <v>1</v>
      </c>
      <c r="G28">
        <v>15514512</v>
      </c>
      <c r="H28">
        <v>3</v>
      </c>
      <c r="I28" t="s">
        <v>279</v>
      </c>
      <c r="J28" t="s">
        <v>280</v>
      </c>
      <c r="K28" t="s">
        <v>281</v>
      </c>
      <c r="L28">
        <v>1346</v>
      </c>
      <c r="N28">
        <v>1009</v>
      </c>
      <c r="O28" t="s">
        <v>215</v>
      </c>
      <c r="P28" t="s">
        <v>215</v>
      </c>
      <c r="Q28">
        <v>1</v>
      </c>
      <c r="X28">
        <v>0.03</v>
      </c>
      <c r="Y28">
        <v>46.9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162</v>
      </c>
      <c r="AG28">
        <v>0.56999999999999995</v>
      </c>
      <c r="AH28">
        <v>2</v>
      </c>
      <c r="AI28">
        <v>80891610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ROW(Source!A88)</f>
        <v>88</v>
      </c>
      <c r="B29">
        <v>80891611</v>
      </c>
      <c r="C29">
        <v>80891453</v>
      </c>
      <c r="D29">
        <v>80215470</v>
      </c>
      <c r="E29">
        <v>1</v>
      </c>
      <c r="F29">
        <v>1</v>
      </c>
      <c r="G29">
        <v>15514512</v>
      </c>
      <c r="H29">
        <v>3</v>
      </c>
      <c r="I29" t="s">
        <v>37</v>
      </c>
      <c r="J29" t="s">
        <v>40</v>
      </c>
      <c r="K29" t="s">
        <v>38</v>
      </c>
      <c r="L29">
        <v>1339</v>
      </c>
      <c r="N29">
        <v>1007</v>
      </c>
      <c r="O29" t="s">
        <v>39</v>
      </c>
      <c r="P29" t="s">
        <v>39</v>
      </c>
      <c r="Q29">
        <v>1</v>
      </c>
      <c r="X29">
        <v>0.01</v>
      </c>
      <c r="Y29">
        <v>54.81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162</v>
      </c>
      <c r="AG29">
        <v>0.19</v>
      </c>
      <c r="AH29">
        <v>2</v>
      </c>
      <c r="AI29">
        <v>80891611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ROW(Source!A90)</f>
        <v>90</v>
      </c>
      <c r="B30">
        <v>80891617</v>
      </c>
      <c r="C30">
        <v>80891455</v>
      </c>
      <c r="D30">
        <v>80199986</v>
      </c>
      <c r="E30">
        <v>15514512</v>
      </c>
      <c r="F30">
        <v>1</v>
      </c>
      <c r="G30">
        <v>15514512</v>
      </c>
      <c r="H30">
        <v>1</v>
      </c>
      <c r="I30" t="s">
        <v>260</v>
      </c>
      <c r="J30" t="s">
        <v>3</v>
      </c>
      <c r="K30" t="s">
        <v>261</v>
      </c>
      <c r="L30">
        <v>1191</v>
      </c>
      <c r="N30">
        <v>1013</v>
      </c>
      <c r="O30" t="s">
        <v>262</v>
      </c>
      <c r="P30" t="s">
        <v>262</v>
      </c>
      <c r="Q30">
        <v>1</v>
      </c>
      <c r="X30">
        <v>2.41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1</v>
      </c>
      <c r="AF30" t="s">
        <v>165</v>
      </c>
      <c r="AG30">
        <v>448.26000000000005</v>
      </c>
      <c r="AH30">
        <v>2</v>
      </c>
      <c r="AI30">
        <v>80891617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ROW(Source!A90)</f>
        <v>90</v>
      </c>
      <c r="B31">
        <v>80891618</v>
      </c>
      <c r="C31">
        <v>80891455</v>
      </c>
      <c r="D31">
        <v>80215860</v>
      </c>
      <c r="E31">
        <v>1</v>
      </c>
      <c r="F31">
        <v>1</v>
      </c>
      <c r="G31">
        <v>15514512</v>
      </c>
      <c r="H31">
        <v>3</v>
      </c>
      <c r="I31" t="s">
        <v>275</v>
      </c>
      <c r="J31" t="s">
        <v>276</v>
      </c>
      <c r="K31" t="s">
        <v>277</v>
      </c>
      <c r="L31">
        <v>1354</v>
      </c>
      <c r="N31">
        <v>1010</v>
      </c>
      <c r="O31" t="s">
        <v>278</v>
      </c>
      <c r="P31" t="s">
        <v>278</v>
      </c>
      <c r="Q31">
        <v>1</v>
      </c>
      <c r="X31">
        <v>100</v>
      </c>
      <c r="Y31">
        <v>2.75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165</v>
      </c>
      <c r="AG31">
        <v>18600</v>
      </c>
      <c r="AH31">
        <v>2</v>
      </c>
      <c r="AI31">
        <v>80891618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ROW(Source!A91)</f>
        <v>91</v>
      </c>
      <c r="B32">
        <v>80892308</v>
      </c>
      <c r="C32">
        <v>80891456</v>
      </c>
      <c r="D32">
        <v>80199986</v>
      </c>
      <c r="E32">
        <v>15514512</v>
      </c>
      <c r="F32">
        <v>1</v>
      </c>
      <c r="G32">
        <v>15514512</v>
      </c>
      <c r="H32">
        <v>1</v>
      </c>
      <c r="I32" t="s">
        <v>260</v>
      </c>
      <c r="J32" t="s">
        <v>3</v>
      </c>
      <c r="K32" t="s">
        <v>261</v>
      </c>
      <c r="L32">
        <v>1191</v>
      </c>
      <c r="N32">
        <v>1013</v>
      </c>
      <c r="O32" t="s">
        <v>262</v>
      </c>
      <c r="P32" t="s">
        <v>262</v>
      </c>
      <c r="Q32">
        <v>1</v>
      </c>
      <c r="X32">
        <v>12.75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170</v>
      </c>
      <c r="AG32">
        <v>165.75</v>
      </c>
      <c r="AH32">
        <v>2</v>
      </c>
      <c r="AI32">
        <v>80892308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ROW(Source!A91)</f>
        <v>91</v>
      </c>
      <c r="B33">
        <v>80892309</v>
      </c>
      <c r="C33">
        <v>80891456</v>
      </c>
      <c r="D33">
        <v>80215393</v>
      </c>
      <c r="E33">
        <v>1</v>
      </c>
      <c r="F33">
        <v>1</v>
      </c>
      <c r="G33">
        <v>15514512</v>
      </c>
      <c r="H33">
        <v>3</v>
      </c>
      <c r="I33" t="s">
        <v>282</v>
      </c>
      <c r="J33" t="s">
        <v>283</v>
      </c>
      <c r="K33" t="s">
        <v>284</v>
      </c>
      <c r="L33">
        <v>1296</v>
      </c>
      <c r="N33">
        <v>1002</v>
      </c>
      <c r="O33" t="s">
        <v>239</v>
      </c>
      <c r="P33" t="s">
        <v>239</v>
      </c>
      <c r="Q33">
        <v>1</v>
      </c>
      <c r="X33">
        <v>7.5</v>
      </c>
      <c r="Y33">
        <v>710.73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170</v>
      </c>
      <c r="AG33">
        <v>97.5</v>
      </c>
      <c r="AH33">
        <v>2</v>
      </c>
      <c r="AI33">
        <v>80892309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ROW(Source!A91)</f>
        <v>91</v>
      </c>
      <c r="B34">
        <v>80892310</v>
      </c>
      <c r="C34">
        <v>80891456</v>
      </c>
      <c r="D34">
        <v>80215470</v>
      </c>
      <c r="E34">
        <v>1</v>
      </c>
      <c r="F34">
        <v>1</v>
      </c>
      <c r="G34">
        <v>15514512</v>
      </c>
      <c r="H34">
        <v>3</v>
      </c>
      <c r="I34" t="s">
        <v>37</v>
      </c>
      <c r="J34" t="s">
        <v>40</v>
      </c>
      <c r="K34" t="s">
        <v>38</v>
      </c>
      <c r="L34">
        <v>1339</v>
      </c>
      <c r="N34">
        <v>1007</v>
      </c>
      <c r="O34" t="s">
        <v>39</v>
      </c>
      <c r="P34" t="s">
        <v>39</v>
      </c>
      <c r="Q34">
        <v>1</v>
      </c>
      <c r="X34">
        <v>1.5</v>
      </c>
      <c r="Y34">
        <v>54.81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170</v>
      </c>
      <c r="AG34">
        <v>19.5</v>
      </c>
      <c r="AH34">
        <v>2</v>
      </c>
      <c r="AI34">
        <v>80892310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ROW(Source!A91)</f>
        <v>91</v>
      </c>
      <c r="B35">
        <v>80892311</v>
      </c>
      <c r="C35">
        <v>80891456</v>
      </c>
      <c r="D35">
        <v>80215860</v>
      </c>
      <c r="E35">
        <v>1</v>
      </c>
      <c r="F35">
        <v>1</v>
      </c>
      <c r="G35">
        <v>15514512</v>
      </c>
      <c r="H35">
        <v>3</v>
      </c>
      <c r="I35" t="s">
        <v>275</v>
      </c>
      <c r="J35" t="s">
        <v>276</v>
      </c>
      <c r="K35" t="s">
        <v>277</v>
      </c>
      <c r="L35">
        <v>1354</v>
      </c>
      <c r="N35">
        <v>1010</v>
      </c>
      <c r="O35" t="s">
        <v>278</v>
      </c>
      <c r="P35" t="s">
        <v>278</v>
      </c>
      <c r="Q35">
        <v>1</v>
      </c>
      <c r="X35">
        <v>100</v>
      </c>
      <c r="Y35">
        <v>2.75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170</v>
      </c>
      <c r="AG35">
        <v>1300</v>
      </c>
      <c r="AH35">
        <v>2</v>
      </c>
      <c r="AI35">
        <v>80892311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ROW(Source!A92)</f>
        <v>92</v>
      </c>
      <c r="B36">
        <v>80891623</v>
      </c>
      <c r="C36">
        <v>80891457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260</v>
      </c>
      <c r="J36" t="s">
        <v>3</v>
      </c>
      <c r="K36" t="s">
        <v>261</v>
      </c>
      <c r="L36">
        <v>1191</v>
      </c>
      <c r="N36">
        <v>1013</v>
      </c>
      <c r="O36" t="s">
        <v>262</v>
      </c>
      <c r="P36" t="s">
        <v>262</v>
      </c>
      <c r="Q36">
        <v>1</v>
      </c>
      <c r="X36">
        <v>0.3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176</v>
      </c>
      <c r="AG36">
        <v>59.699999999999996</v>
      </c>
      <c r="AH36">
        <v>2</v>
      </c>
      <c r="AI36">
        <v>80891623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ROW(Source!A93)</f>
        <v>93</v>
      </c>
      <c r="B37">
        <v>80891624</v>
      </c>
      <c r="C37">
        <v>80891458</v>
      </c>
      <c r="D37">
        <v>80199986</v>
      </c>
      <c r="E37">
        <v>15514512</v>
      </c>
      <c r="F37">
        <v>1</v>
      </c>
      <c r="G37">
        <v>15514512</v>
      </c>
      <c r="H37">
        <v>1</v>
      </c>
      <c r="I37" t="s">
        <v>260</v>
      </c>
      <c r="J37" t="s">
        <v>3</v>
      </c>
      <c r="K37" t="s">
        <v>261</v>
      </c>
      <c r="L37">
        <v>1191</v>
      </c>
      <c r="N37">
        <v>1013</v>
      </c>
      <c r="O37" t="s">
        <v>262</v>
      </c>
      <c r="P37" t="s">
        <v>262</v>
      </c>
      <c r="Q37">
        <v>1</v>
      </c>
      <c r="X37">
        <v>1.26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181</v>
      </c>
      <c r="AG37">
        <v>2.52</v>
      </c>
      <c r="AH37">
        <v>2</v>
      </c>
      <c r="AI37">
        <v>80891624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5">
      <c r="A38">
        <f>ROW(Source!A93)</f>
        <v>93</v>
      </c>
      <c r="B38">
        <v>80891625</v>
      </c>
      <c r="C38">
        <v>80891458</v>
      </c>
      <c r="D38">
        <v>80212965</v>
      </c>
      <c r="E38">
        <v>1</v>
      </c>
      <c r="F38">
        <v>1</v>
      </c>
      <c r="G38">
        <v>15514512</v>
      </c>
      <c r="H38">
        <v>2</v>
      </c>
      <c r="I38" t="s">
        <v>285</v>
      </c>
      <c r="J38" t="s">
        <v>286</v>
      </c>
      <c r="K38" t="s">
        <v>287</v>
      </c>
      <c r="L38">
        <v>1368</v>
      </c>
      <c r="N38">
        <v>1011</v>
      </c>
      <c r="O38" t="s">
        <v>259</v>
      </c>
      <c r="P38" t="s">
        <v>259</v>
      </c>
      <c r="Q38">
        <v>1</v>
      </c>
      <c r="X38">
        <v>0.9</v>
      </c>
      <c r="Y38">
        <v>0</v>
      </c>
      <c r="Z38">
        <v>1165.03</v>
      </c>
      <c r="AA38">
        <v>351.43</v>
      </c>
      <c r="AB38">
        <v>0</v>
      </c>
      <c r="AC38">
        <v>0</v>
      </c>
      <c r="AD38">
        <v>1</v>
      </c>
      <c r="AE38">
        <v>0</v>
      </c>
      <c r="AF38" t="s">
        <v>181</v>
      </c>
      <c r="AG38">
        <v>1.8</v>
      </c>
      <c r="AH38">
        <v>2</v>
      </c>
      <c r="AI38">
        <v>80891625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5">
      <c r="A39">
        <f>ROW(Source!A93)</f>
        <v>93</v>
      </c>
      <c r="B39">
        <v>80891626</v>
      </c>
      <c r="C39">
        <v>80891458</v>
      </c>
      <c r="D39">
        <v>80213223</v>
      </c>
      <c r="E39">
        <v>1</v>
      </c>
      <c r="F39">
        <v>1</v>
      </c>
      <c r="G39">
        <v>15514512</v>
      </c>
      <c r="H39">
        <v>2</v>
      </c>
      <c r="I39" t="s">
        <v>288</v>
      </c>
      <c r="J39" t="s">
        <v>289</v>
      </c>
      <c r="K39" t="s">
        <v>290</v>
      </c>
      <c r="L39">
        <v>1368</v>
      </c>
      <c r="N39">
        <v>1011</v>
      </c>
      <c r="O39" t="s">
        <v>259</v>
      </c>
      <c r="P39" t="s">
        <v>259</v>
      </c>
      <c r="Q39">
        <v>1</v>
      </c>
      <c r="X39">
        <v>0.99</v>
      </c>
      <c r="Y39">
        <v>0</v>
      </c>
      <c r="Z39">
        <v>1877.34</v>
      </c>
      <c r="AA39">
        <v>967.36</v>
      </c>
      <c r="AB39">
        <v>0</v>
      </c>
      <c r="AC39">
        <v>0</v>
      </c>
      <c r="AD39">
        <v>1</v>
      </c>
      <c r="AE39">
        <v>0</v>
      </c>
      <c r="AF39" t="s">
        <v>181</v>
      </c>
      <c r="AG39">
        <v>1.98</v>
      </c>
      <c r="AH39">
        <v>2</v>
      </c>
      <c r="AI39">
        <v>80891626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5">
      <c r="A40">
        <f>ROW(Source!A93)</f>
        <v>93</v>
      </c>
      <c r="B40">
        <v>80891627</v>
      </c>
      <c r="C40">
        <v>80891458</v>
      </c>
      <c r="D40">
        <v>80215470</v>
      </c>
      <c r="E40">
        <v>1</v>
      </c>
      <c r="F40">
        <v>1</v>
      </c>
      <c r="G40">
        <v>15514512</v>
      </c>
      <c r="H40">
        <v>3</v>
      </c>
      <c r="I40" t="s">
        <v>37</v>
      </c>
      <c r="J40" t="s">
        <v>40</v>
      </c>
      <c r="K40" t="s">
        <v>38</v>
      </c>
      <c r="L40">
        <v>1339</v>
      </c>
      <c r="N40">
        <v>1007</v>
      </c>
      <c r="O40" t="s">
        <v>39</v>
      </c>
      <c r="P40" t="s">
        <v>39</v>
      </c>
      <c r="Q40">
        <v>1</v>
      </c>
      <c r="X40">
        <v>0.8</v>
      </c>
      <c r="Y40">
        <v>54.81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181</v>
      </c>
      <c r="AG40">
        <v>1.6</v>
      </c>
      <c r="AH40">
        <v>2</v>
      </c>
      <c r="AI40">
        <v>80891627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5">
      <c r="A41">
        <f>ROW(Source!A130)</f>
        <v>130</v>
      </c>
      <c r="B41">
        <v>80891629</v>
      </c>
      <c r="C41">
        <v>80891517</v>
      </c>
      <c r="D41">
        <v>80199986</v>
      </c>
      <c r="E41">
        <v>15514512</v>
      </c>
      <c r="F41">
        <v>1</v>
      </c>
      <c r="G41">
        <v>15514512</v>
      </c>
      <c r="H41">
        <v>1</v>
      </c>
      <c r="I41" t="s">
        <v>260</v>
      </c>
      <c r="J41" t="s">
        <v>3</v>
      </c>
      <c r="K41" t="s">
        <v>261</v>
      </c>
      <c r="L41">
        <v>1191</v>
      </c>
      <c r="N41">
        <v>1013</v>
      </c>
      <c r="O41" t="s">
        <v>262</v>
      </c>
      <c r="P41" t="s">
        <v>262</v>
      </c>
      <c r="Q41">
        <v>1</v>
      </c>
      <c r="X41">
        <v>0.59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181</v>
      </c>
      <c r="AG41">
        <v>1.18</v>
      </c>
      <c r="AH41">
        <v>2</v>
      </c>
      <c r="AI41">
        <v>80891629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5">
      <c r="A42">
        <f>ROW(Source!A130)</f>
        <v>130</v>
      </c>
      <c r="B42">
        <v>80891630</v>
      </c>
      <c r="C42">
        <v>80891517</v>
      </c>
      <c r="D42">
        <v>80213222</v>
      </c>
      <c r="E42">
        <v>1</v>
      </c>
      <c r="F42">
        <v>1</v>
      </c>
      <c r="G42">
        <v>15514512</v>
      </c>
      <c r="H42">
        <v>2</v>
      </c>
      <c r="I42" t="s">
        <v>291</v>
      </c>
      <c r="J42" t="s">
        <v>292</v>
      </c>
      <c r="K42" t="s">
        <v>293</v>
      </c>
      <c r="L42">
        <v>1368</v>
      </c>
      <c r="N42">
        <v>1011</v>
      </c>
      <c r="O42" t="s">
        <v>259</v>
      </c>
      <c r="P42" t="s">
        <v>259</v>
      </c>
      <c r="Q42">
        <v>1</v>
      </c>
      <c r="X42">
        <v>0.34</v>
      </c>
      <c r="Y42">
        <v>0</v>
      </c>
      <c r="Z42">
        <v>20.7</v>
      </c>
      <c r="AA42">
        <v>0.2</v>
      </c>
      <c r="AB42">
        <v>0</v>
      </c>
      <c r="AC42">
        <v>0</v>
      </c>
      <c r="AD42">
        <v>1</v>
      </c>
      <c r="AE42">
        <v>0</v>
      </c>
      <c r="AF42" t="s">
        <v>181</v>
      </c>
      <c r="AG42">
        <v>0.68</v>
      </c>
      <c r="AH42">
        <v>2</v>
      </c>
      <c r="AI42">
        <v>80891630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5">
      <c r="A43">
        <f>ROW(Source!A131)</f>
        <v>131</v>
      </c>
      <c r="B43">
        <v>80891631</v>
      </c>
      <c r="C43">
        <v>80891518</v>
      </c>
      <c r="D43">
        <v>80199986</v>
      </c>
      <c r="E43">
        <v>15514512</v>
      </c>
      <c r="F43">
        <v>1</v>
      </c>
      <c r="G43">
        <v>15514512</v>
      </c>
      <c r="H43">
        <v>1</v>
      </c>
      <c r="I43" t="s">
        <v>260</v>
      </c>
      <c r="J43" t="s">
        <v>3</v>
      </c>
      <c r="K43" t="s">
        <v>261</v>
      </c>
      <c r="L43">
        <v>1191</v>
      </c>
      <c r="N43">
        <v>1013</v>
      </c>
      <c r="O43" t="s">
        <v>262</v>
      </c>
      <c r="P43" t="s">
        <v>262</v>
      </c>
      <c r="Q43">
        <v>1</v>
      </c>
      <c r="X43">
        <v>1.6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181</v>
      </c>
      <c r="AG43">
        <v>3.2</v>
      </c>
      <c r="AH43">
        <v>2</v>
      </c>
      <c r="AI43">
        <v>80891631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5">
      <c r="A44">
        <f>ROW(Source!A132)</f>
        <v>132</v>
      </c>
      <c r="B44">
        <v>80891632</v>
      </c>
      <c r="C44">
        <v>80891519</v>
      </c>
      <c r="D44">
        <v>80199986</v>
      </c>
      <c r="E44">
        <v>15514512</v>
      </c>
      <c r="F44">
        <v>1</v>
      </c>
      <c r="G44">
        <v>15514512</v>
      </c>
      <c r="H44">
        <v>1</v>
      </c>
      <c r="I44" t="s">
        <v>260</v>
      </c>
      <c r="J44" t="s">
        <v>3</v>
      </c>
      <c r="K44" t="s">
        <v>261</v>
      </c>
      <c r="L44">
        <v>1191</v>
      </c>
      <c r="N44">
        <v>1013</v>
      </c>
      <c r="O44" t="s">
        <v>262</v>
      </c>
      <c r="P44" t="s">
        <v>262</v>
      </c>
      <c r="Q44">
        <v>1</v>
      </c>
      <c r="X44">
        <v>0.48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181</v>
      </c>
      <c r="AG44">
        <v>0.96</v>
      </c>
      <c r="AH44">
        <v>2</v>
      </c>
      <c r="AI44">
        <v>80891632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5">
      <c r="A45">
        <f>ROW(Source!A132)</f>
        <v>132</v>
      </c>
      <c r="B45">
        <v>80891633</v>
      </c>
      <c r="C45">
        <v>80891519</v>
      </c>
      <c r="D45">
        <v>80213338</v>
      </c>
      <c r="E45">
        <v>1</v>
      </c>
      <c r="F45">
        <v>1</v>
      </c>
      <c r="G45">
        <v>15514512</v>
      </c>
      <c r="H45">
        <v>2</v>
      </c>
      <c r="I45" t="s">
        <v>294</v>
      </c>
      <c r="J45" t="s">
        <v>295</v>
      </c>
      <c r="K45" t="s">
        <v>296</v>
      </c>
      <c r="L45">
        <v>1368</v>
      </c>
      <c r="N45">
        <v>1011</v>
      </c>
      <c r="O45" t="s">
        <v>259</v>
      </c>
      <c r="P45" t="s">
        <v>259</v>
      </c>
      <c r="Q45">
        <v>1</v>
      </c>
      <c r="X45">
        <v>0.21</v>
      </c>
      <c r="Y45">
        <v>0</v>
      </c>
      <c r="Z45">
        <v>1650.83</v>
      </c>
      <c r="AA45">
        <v>713.72</v>
      </c>
      <c r="AB45">
        <v>0</v>
      </c>
      <c r="AC45">
        <v>0</v>
      </c>
      <c r="AD45">
        <v>1</v>
      </c>
      <c r="AE45">
        <v>0</v>
      </c>
      <c r="AF45" t="s">
        <v>181</v>
      </c>
      <c r="AG45">
        <v>0.42</v>
      </c>
      <c r="AH45">
        <v>2</v>
      </c>
      <c r="AI45">
        <v>80891633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5">
      <c r="A46">
        <f>ROW(Source!A132)</f>
        <v>132</v>
      </c>
      <c r="B46">
        <v>80891634</v>
      </c>
      <c r="C46">
        <v>80891519</v>
      </c>
      <c r="D46">
        <v>80215861</v>
      </c>
      <c r="E46">
        <v>1</v>
      </c>
      <c r="F46">
        <v>1</v>
      </c>
      <c r="G46">
        <v>15514512</v>
      </c>
      <c r="H46">
        <v>3</v>
      </c>
      <c r="I46" t="s">
        <v>297</v>
      </c>
      <c r="J46" t="s">
        <v>298</v>
      </c>
      <c r="K46" t="s">
        <v>299</v>
      </c>
      <c r="L46">
        <v>1354</v>
      </c>
      <c r="N46">
        <v>1010</v>
      </c>
      <c r="O46" t="s">
        <v>278</v>
      </c>
      <c r="P46" t="s">
        <v>278</v>
      </c>
      <c r="Q46">
        <v>1</v>
      </c>
      <c r="X46">
        <v>8</v>
      </c>
      <c r="Y46">
        <v>9.1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181</v>
      </c>
      <c r="AG46">
        <v>16</v>
      </c>
      <c r="AH46">
        <v>2</v>
      </c>
      <c r="AI46">
        <v>80891634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5">
      <c r="A47">
        <f>ROW(Source!A133)</f>
        <v>133</v>
      </c>
      <c r="B47">
        <v>80891635</v>
      </c>
      <c r="C47">
        <v>80891520</v>
      </c>
      <c r="D47">
        <v>80199986</v>
      </c>
      <c r="E47">
        <v>15514512</v>
      </c>
      <c r="F47">
        <v>1</v>
      </c>
      <c r="G47">
        <v>15514512</v>
      </c>
      <c r="H47">
        <v>1</v>
      </c>
      <c r="I47" t="s">
        <v>260</v>
      </c>
      <c r="J47" t="s">
        <v>3</v>
      </c>
      <c r="K47" t="s">
        <v>261</v>
      </c>
      <c r="L47">
        <v>1191</v>
      </c>
      <c r="N47">
        <v>1013</v>
      </c>
      <c r="O47" t="s">
        <v>262</v>
      </c>
      <c r="P47" t="s">
        <v>262</v>
      </c>
      <c r="Q47">
        <v>1</v>
      </c>
      <c r="X47">
        <v>0.05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176</v>
      </c>
      <c r="AG47">
        <v>9.9500000000000011</v>
      </c>
      <c r="AH47">
        <v>2</v>
      </c>
      <c r="AI47">
        <v>80891635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5">
      <c r="A48">
        <f>ROW(Source!A133)</f>
        <v>133</v>
      </c>
      <c r="B48">
        <v>80891636</v>
      </c>
      <c r="C48">
        <v>80891520</v>
      </c>
      <c r="D48">
        <v>80215861</v>
      </c>
      <c r="E48">
        <v>1</v>
      </c>
      <c r="F48">
        <v>1</v>
      </c>
      <c r="G48">
        <v>15514512</v>
      </c>
      <c r="H48">
        <v>3</v>
      </c>
      <c r="I48" t="s">
        <v>297</v>
      </c>
      <c r="J48" t="s">
        <v>298</v>
      </c>
      <c r="K48" t="s">
        <v>299</v>
      </c>
      <c r="L48">
        <v>1354</v>
      </c>
      <c r="N48">
        <v>1010</v>
      </c>
      <c r="O48" t="s">
        <v>278</v>
      </c>
      <c r="P48" t="s">
        <v>278</v>
      </c>
      <c r="Q48">
        <v>1</v>
      </c>
      <c r="X48">
        <v>0.1</v>
      </c>
      <c r="Y48">
        <v>9.1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176</v>
      </c>
      <c r="AG48">
        <v>19.900000000000002</v>
      </c>
      <c r="AH48">
        <v>2</v>
      </c>
      <c r="AI48">
        <v>80891636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5">
      <c r="A49">
        <f>ROW(Source!A134)</f>
        <v>134</v>
      </c>
      <c r="B49">
        <v>80891637</v>
      </c>
      <c r="C49">
        <v>80891521</v>
      </c>
      <c r="D49">
        <v>80199986</v>
      </c>
      <c r="E49">
        <v>15514512</v>
      </c>
      <c r="F49">
        <v>1</v>
      </c>
      <c r="G49">
        <v>15514512</v>
      </c>
      <c r="H49">
        <v>1</v>
      </c>
      <c r="I49" t="s">
        <v>260</v>
      </c>
      <c r="J49" t="s">
        <v>3</v>
      </c>
      <c r="K49" t="s">
        <v>261</v>
      </c>
      <c r="L49">
        <v>1191</v>
      </c>
      <c r="N49">
        <v>1013</v>
      </c>
      <c r="O49" t="s">
        <v>262</v>
      </c>
      <c r="P49" t="s">
        <v>262</v>
      </c>
      <c r="Q49">
        <v>1</v>
      </c>
      <c r="X49">
        <v>0.98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156</v>
      </c>
      <c r="AG49">
        <v>13.719999999999999</v>
      </c>
      <c r="AH49">
        <v>2</v>
      </c>
      <c r="AI49">
        <v>80891637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5">
      <c r="A50">
        <f>ROW(Source!A134)</f>
        <v>134</v>
      </c>
      <c r="B50">
        <v>80891638</v>
      </c>
      <c r="C50">
        <v>80891521</v>
      </c>
      <c r="D50">
        <v>80213130</v>
      </c>
      <c r="E50">
        <v>1</v>
      </c>
      <c r="F50">
        <v>1</v>
      </c>
      <c r="G50">
        <v>15514512</v>
      </c>
      <c r="H50">
        <v>2</v>
      </c>
      <c r="I50" t="s">
        <v>300</v>
      </c>
      <c r="J50" t="s">
        <v>301</v>
      </c>
      <c r="K50" t="s">
        <v>302</v>
      </c>
      <c r="L50">
        <v>1368</v>
      </c>
      <c r="N50">
        <v>1011</v>
      </c>
      <c r="O50" t="s">
        <v>259</v>
      </c>
      <c r="P50" t="s">
        <v>259</v>
      </c>
      <c r="Q50">
        <v>1</v>
      </c>
      <c r="X50">
        <v>0.75</v>
      </c>
      <c r="Y50">
        <v>0</v>
      </c>
      <c r="Z50">
        <v>32.590000000000003</v>
      </c>
      <c r="AA50">
        <v>3.28</v>
      </c>
      <c r="AB50">
        <v>0</v>
      </c>
      <c r="AC50">
        <v>0</v>
      </c>
      <c r="AD50">
        <v>1</v>
      </c>
      <c r="AE50">
        <v>0</v>
      </c>
      <c r="AF50" t="s">
        <v>156</v>
      </c>
      <c r="AG50">
        <v>10.5</v>
      </c>
      <c r="AH50">
        <v>2</v>
      </c>
      <c r="AI50">
        <v>80891638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5">
      <c r="A51">
        <f>ROW(Source!A135)</f>
        <v>135</v>
      </c>
      <c r="B51">
        <v>80891639</v>
      </c>
      <c r="C51">
        <v>80891522</v>
      </c>
      <c r="D51">
        <v>80199986</v>
      </c>
      <c r="E51">
        <v>15514512</v>
      </c>
      <c r="F51">
        <v>1</v>
      </c>
      <c r="G51">
        <v>15514512</v>
      </c>
      <c r="H51">
        <v>1</v>
      </c>
      <c r="I51" t="s">
        <v>260</v>
      </c>
      <c r="J51" t="s">
        <v>3</v>
      </c>
      <c r="K51" t="s">
        <v>261</v>
      </c>
      <c r="L51">
        <v>1191</v>
      </c>
      <c r="N51">
        <v>1013</v>
      </c>
      <c r="O51" t="s">
        <v>262</v>
      </c>
      <c r="P51" t="s">
        <v>262</v>
      </c>
      <c r="Q51">
        <v>1</v>
      </c>
      <c r="X51">
        <v>0.56000000000000005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156</v>
      </c>
      <c r="AG51">
        <v>7.8400000000000007</v>
      </c>
      <c r="AH51">
        <v>2</v>
      </c>
      <c r="AI51">
        <v>80891639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5">
      <c r="A52">
        <f>ROW(Source!A135)</f>
        <v>135</v>
      </c>
      <c r="B52">
        <v>80891640</v>
      </c>
      <c r="C52">
        <v>80891522</v>
      </c>
      <c r="D52">
        <v>80212805</v>
      </c>
      <c r="E52">
        <v>1</v>
      </c>
      <c r="F52">
        <v>1</v>
      </c>
      <c r="G52">
        <v>15514512</v>
      </c>
      <c r="H52">
        <v>2</v>
      </c>
      <c r="I52" t="s">
        <v>303</v>
      </c>
      <c r="J52" t="s">
        <v>304</v>
      </c>
      <c r="K52" t="s">
        <v>305</v>
      </c>
      <c r="L52">
        <v>1368</v>
      </c>
      <c r="N52">
        <v>1011</v>
      </c>
      <c r="O52" t="s">
        <v>259</v>
      </c>
      <c r="P52" t="s">
        <v>259</v>
      </c>
      <c r="Q52">
        <v>1</v>
      </c>
      <c r="X52">
        <v>0.3</v>
      </c>
      <c r="Y52">
        <v>0</v>
      </c>
      <c r="Z52">
        <v>2997.56</v>
      </c>
      <c r="AA52">
        <v>1034.8599999999999</v>
      </c>
      <c r="AB52">
        <v>0</v>
      </c>
      <c r="AC52">
        <v>0</v>
      </c>
      <c r="AD52">
        <v>1</v>
      </c>
      <c r="AE52">
        <v>0</v>
      </c>
      <c r="AF52" t="s">
        <v>156</v>
      </c>
      <c r="AG52">
        <v>4.2</v>
      </c>
      <c r="AH52">
        <v>2</v>
      </c>
      <c r="AI52">
        <v>80891640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5">
      <c r="A53">
        <f>ROW(Source!A135)</f>
        <v>135</v>
      </c>
      <c r="B53">
        <v>80891641</v>
      </c>
      <c r="C53">
        <v>80891522</v>
      </c>
      <c r="D53">
        <v>80215470</v>
      </c>
      <c r="E53">
        <v>1</v>
      </c>
      <c r="F53">
        <v>1</v>
      </c>
      <c r="G53">
        <v>15514512</v>
      </c>
      <c r="H53">
        <v>3</v>
      </c>
      <c r="I53" t="s">
        <v>37</v>
      </c>
      <c r="J53" t="s">
        <v>40</v>
      </c>
      <c r="K53" t="s">
        <v>38</v>
      </c>
      <c r="L53">
        <v>1339</v>
      </c>
      <c r="N53">
        <v>1007</v>
      </c>
      <c r="O53" t="s">
        <v>39</v>
      </c>
      <c r="P53" t="s">
        <v>39</v>
      </c>
      <c r="Q53">
        <v>1</v>
      </c>
      <c r="X53">
        <v>1</v>
      </c>
      <c r="Y53">
        <v>54.81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156</v>
      </c>
      <c r="AG53">
        <v>14</v>
      </c>
      <c r="AH53">
        <v>2</v>
      </c>
      <c r="AI53">
        <v>80891641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5">
      <c r="A54">
        <f>ROW(Source!A137)</f>
        <v>137</v>
      </c>
      <c r="B54">
        <v>80891643</v>
      </c>
      <c r="C54">
        <v>80891523</v>
      </c>
      <c r="D54">
        <v>80199986</v>
      </c>
      <c r="E54">
        <v>15514512</v>
      </c>
      <c r="F54">
        <v>1</v>
      </c>
      <c r="G54">
        <v>15514512</v>
      </c>
      <c r="H54">
        <v>1</v>
      </c>
      <c r="I54" t="s">
        <v>260</v>
      </c>
      <c r="J54" t="s">
        <v>3</v>
      </c>
      <c r="K54" t="s">
        <v>261</v>
      </c>
      <c r="L54">
        <v>1191</v>
      </c>
      <c r="N54">
        <v>1013</v>
      </c>
      <c r="O54" t="s">
        <v>262</v>
      </c>
      <c r="P54" t="s">
        <v>262</v>
      </c>
      <c r="Q54">
        <v>1</v>
      </c>
      <c r="X54">
        <v>0.7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0.7</v>
      </c>
      <c r="AH54">
        <v>2</v>
      </c>
      <c r="AI54">
        <v>80891643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5">
      <c r="A55">
        <f>ROW(Source!A137)</f>
        <v>137</v>
      </c>
      <c r="B55">
        <v>80891644</v>
      </c>
      <c r="C55">
        <v>80891523</v>
      </c>
      <c r="D55">
        <v>80200071</v>
      </c>
      <c r="E55">
        <v>15514512</v>
      </c>
      <c r="F55">
        <v>1</v>
      </c>
      <c r="G55">
        <v>15514512</v>
      </c>
      <c r="H55">
        <v>3</v>
      </c>
      <c r="I55" t="s">
        <v>309</v>
      </c>
      <c r="J55" t="s">
        <v>3</v>
      </c>
      <c r="K55" t="s">
        <v>310</v>
      </c>
      <c r="L55">
        <v>1346</v>
      </c>
      <c r="N55">
        <v>1009</v>
      </c>
      <c r="O55" t="s">
        <v>215</v>
      </c>
      <c r="P55" t="s">
        <v>215</v>
      </c>
      <c r="Q55">
        <v>1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 t="s">
        <v>3</v>
      </c>
      <c r="AG55">
        <v>0</v>
      </c>
      <c r="AH55">
        <v>3</v>
      </c>
      <c r="AI55">
        <v>-1</v>
      </c>
      <c r="AJ55" t="s">
        <v>3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5">
      <c r="A56">
        <f>ROW(Source!A139)</f>
        <v>139</v>
      </c>
      <c r="B56">
        <v>80891646</v>
      </c>
      <c r="C56">
        <v>80891526</v>
      </c>
      <c r="D56">
        <v>80199986</v>
      </c>
      <c r="E56">
        <v>15514512</v>
      </c>
      <c r="F56">
        <v>1</v>
      </c>
      <c r="G56">
        <v>15514512</v>
      </c>
      <c r="H56">
        <v>1</v>
      </c>
      <c r="I56" t="s">
        <v>260</v>
      </c>
      <c r="J56" t="s">
        <v>3</v>
      </c>
      <c r="K56" t="s">
        <v>261</v>
      </c>
      <c r="L56">
        <v>1191</v>
      </c>
      <c r="N56">
        <v>1013</v>
      </c>
      <c r="O56" t="s">
        <v>262</v>
      </c>
      <c r="P56" t="s">
        <v>262</v>
      </c>
      <c r="Q56">
        <v>1</v>
      </c>
      <c r="X56">
        <v>0.56000000000000005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219</v>
      </c>
      <c r="AG56">
        <v>5.6000000000000005</v>
      </c>
      <c r="AH56">
        <v>2</v>
      </c>
      <c r="AI56">
        <v>80891646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5">
      <c r="A57">
        <f>ROW(Source!A139)</f>
        <v>139</v>
      </c>
      <c r="B57">
        <v>80891647</v>
      </c>
      <c r="C57">
        <v>80891526</v>
      </c>
      <c r="D57">
        <v>80212805</v>
      </c>
      <c r="E57">
        <v>1</v>
      </c>
      <c r="F57">
        <v>1</v>
      </c>
      <c r="G57">
        <v>15514512</v>
      </c>
      <c r="H57">
        <v>2</v>
      </c>
      <c r="I57" t="s">
        <v>303</v>
      </c>
      <c r="J57" t="s">
        <v>304</v>
      </c>
      <c r="K57" t="s">
        <v>305</v>
      </c>
      <c r="L57">
        <v>1368</v>
      </c>
      <c r="N57">
        <v>1011</v>
      </c>
      <c r="O57" t="s">
        <v>259</v>
      </c>
      <c r="P57" t="s">
        <v>259</v>
      </c>
      <c r="Q57">
        <v>1</v>
      </c>
      <c r="X57">
        <v>0.3</v>
      </c>
      <c r="Y57">
        <v>0</v>
      </c>
      <c r="Z57">
        <v>2997.56</v>
      </c>
      <c r="AA57">
        <v>1034.8599999999999</v>
      </c>
      <c r="AB57">
        <v>0</v>
      </c>
      <c r="AC57">
        <v>0</v>
      </c>
      <c r="AD57">
        <v>1</v>
      </c>
      <c r="AE57">
        <v>0</v>
      </c>
      <c r="AF57" t="s">
        <v>219</v>
      </c>
      <c r="AG57">
        <v>3</v>
      </c>
      <c r="AH57">
        <v>2</v>
      </c>
      <c r="AI57">
        <v>80891647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5">
      <c r="A58">
        <f>ROW(Source!A139)</f>
        <v>139</v>
      </c>
      <c r="B58">
        <v>80891648</v>
      </c>
      <c r="C58">
        <v>80891526</v>
      </c>
      <c r="D58">
        <v>80215470</v>
      </c>
      <c r="E58">
        <v>1</v>
      </c>
      <c r="F58">
        <v>1</v>
      </c>
      <c r="G58">
        <v>15514512</v>
      </c>
      <c r="H58">
        <v>3</v>
      </c>
      <c r="I58" t="s">
        <v>37</v>
      </c>
      <c r="J58" t="s">
        <v>40</v>
      </c>
      <c r="K58" t="s">
        <v>38</v>
      </c>
      <c r="L58">
        <v>1339</v>
      </c>
      <c r="N58">
        <v>1007</v>
      </c>
      <c r="O58" t="s">
        <v>39</v>
      </c>
      <c r="P58" t="s">
        <v>39</v>
      </c>
      <c r="Q58">
        <v>1</v>
      </c>
      <c r="X58">
        <v>1</v>
      </c>
      <c r="Y58">
        <v>54.81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219</v>
      </c>
      <c r="AG58">
        <v>10</v>
      </c>
      <c r="AH58">
        <v>2</v>
      </c>
      <c r="AI58">
        <v>80891648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5">
      <c r="A59">
        <f>ROW(Source!A140)</f>
        <v>140</v>
      </c>
      <c r="B59">
        <v>80891696</v>
      </c>
      <c r="C59">
        <v>80891693</v>
      </c>
      <c r="D59">
        <v>80199986</v>
      </c>
      <c r="E59">
        <v>15514512</v>
      </c>
      <c r="F59">
        <v>1</v>
      </c>
      <c r="G59">
        <v>15514512</v>
      </c>
      <c r="H59">
        <v>1</v>
      </c>
      <c r="I59" t="s">
        <v>260</v>
      </c>
      <c r="J59" t="s">
        <v>3</v>
      </c>
      <c r="K59" t="s">
        <v>261</v>
      </c>
      <c r="L59">
        <v>1191</v>
      </c>
      <c r="N59">
        <v>1013</v>
      </c>
      <c r="O59" t="s">
        <v>262</v>
      </c>
      <c r="P59" t="s">
        <v>262</v>
      </c>
      <c r="Q59">
        <v>1</v>
      </c>
      <c r="X59">
        <v>1.58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1</v>
      </c>
      <c r="AF59" t="s">
        <v>225</v>
      </c>
      <c r="AG59">
        <v>9.48</v>
      </c>
      <c r="AH59">
        <v>2</v>
      </c>
      <c r="AI59">
        <v>80891694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5">
      <c r="A60">
        <f>ROW(Source!A140)</f>
        <v>140</v>
      </c>
      <c r="B60">
        <v>80891697</v>
      </c>
      <c r="C60">
        <v>80891693</v>
      </c>
      <c r="D60">
        <v>80215860</v>
      </c>
      <c r="E60">
        <v>1</v>
      </c>
      <c r="F60">
        <v>1</v>
      </c>
      <c r="G60">
        <v>15514512</v>
      </c>
      <c r="H60">
        <v>3</v>
      </c>
      <c r="I60" t="s">
        <v>275</v>
      </c>
      <c r="J60" t="s">
        <v>276</v>
      </c>
      <c r="K60" t="s">
        <v>277</v>
      </c>
      <c r="L60">
        <v>1354</v>
      </c>
      <c r="N60">
        <v>1010</v>
      </c>
      <c r="O60" t="s">
        <v>278</v>
      </c>
      <c r="P60" t="s">
        <v>278</v>
      </c>
      <c r="Q60">
        <v>1</v>
      </c>
      <c r="X60">
        <v>0.5</v>
      </c>
      <c r="Y60">
        <v>2.75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225</v>
      </c>
      <c r="AG60">
        <v>3</v>
      </c>
      <c r="AH60">
        <v>2</v>
      </c>
      <c r="AI60">
        <v>80891695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5">
      <c r="A61">
        <f>ROW(Source!A141)</f>
        <v>141</v>
      </c>
      <c r="B61">
        <v>80891655</v>
      </c>
      <c r="C61">
        <v>80891529</v>
      </c>
      <c r="D61">
        <v>80199986</v>
      </c>
      <c r="E61">
        <v>15514512</v>
      </c>
      <c r="F61">
        <v>1</v>
      </c>
      <c r="G61">
        <v>15514512</v>
      </c>
      <c r="H61">
        <v>1</v>
      </c>
      <c r="I61" t="s">
        <v>260</v>
      </c>
      <c r="J61" t="s">
        <v>3</v>
      </c>
      <c r="K61" t="s">
        <v>261</v>
      </c>
      <c r="L61">
        <v>1191</v>
      </c>
      <c r="N61">
        <v>1013</v>
      </c>
      <c r="O61" t="s">
        <v>262</v>
      </c>
      <c r="P61" t="s">
        <v>262</v>
      </c>
      <c r="Q61">
        <v>1</v>
      </c>
      <c r="X61">
        <v>0.56000000000000005</v>
      </c>
      <c r="Y61">
        <v>0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1</v>
      </c>
      <c r="AF61" t="s">
        <v>58</v>
      </c>
      <c r="AG61">
        <v>11.200000000000001</v>
      </c>
      <c r="AH61">
        <v>2</v>
      </c>
      <c r="AI61">
        <v>80891655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5">
      <c r="A62">
        <f>ROW(Source!A141)</f>
        <v>141</v>
      </c>
      <c r="B62">
        <v>80891656</v>
      </c>
      <c r="C62">
        <v>80891529</v>
      </c>
      <c r="D62">
        <v>80212805</v>
      </c>
      <c r="E62">
        <v>1</v>
      </c>
      <c r="F62">
        <v>1</v>
      </c>
      <c r="G62">
        <v>15514512</v>
      </c>
      <c r="H62">
        <v>2</v>
      </c>
      <c r="I62" t="s">
        <v>303</v>
      </c>
      <c r="J62" t="s">
        <v>304</v>
      </c>
      <c r="K62" t="s">
        <v>305</v>
      </c>
      <c r="L62">
        <v>1368</v>
      </c>
      <c r="N62">
        <v>1011</v>
      </c>
      <c r="O62" t="s">
        <v>259</v>
      </c>
      <c r="P62" t="s">
        <v>259</v>
      </c>
      <c r="Q62">
        <v>1</v>
      </c>
      <c r="X62">
        <v>0.3</v>
      </c>
      <c r="Y62">
        <v>0</v>
      </c>
      <c r="Z62">
        <v>2997.56</v>
      </c>
      <c r="AA62">
        <v>1034.8599999999999</v>
      </c>
      <c r="AB62">
        <v>0</v>
      </c>
      <c r="AC62">
        <v>0</v>
      </c>
      <c r="AD62">
        <v>1</v>
      </c>
      <c r="AE62">
        <v>0</v>
      </c>
      <c r="AF62" t="s">
        <v>58</v>
      </c>
      <c r="AG62">
        <v>6</v>
      </c>
      <c r="AH62">
        <v>2</v>
      </c>
      <c r="AI62">
        <v>80891656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5">
      <c r="A63">
        <f>ROW(Source!A141)</f>
        <v>141</v>
      </c>
      <c r="B63">
        <v>80891657</v>
      </c>
      <c r="C63">
        <v>80891529</v>
      </c>
      <c r="D63">
        <v>80215470</v>
      </c>
      <c r="E63">
        <v>1</v>
      </c>
      <c r="F63">
        <v>1</v>
      </c>
      <c r="G63">
        <v>15514512</v>
      </c>
      <c r="H63">
        <v>3</v>
      </c>
      <c r="I63" t="s">
        <v>37</v>
      </c>
      <c r="J63" t="s">
        <v>40</v>
      </c>
      <c r="K63" t="s">
        <v>38</v>
      </c>
      <c r="L63">
        <v>1339</v>
      </c>
      <c r="N63">
        <v>1007</v>
      </c>
      <c r="O63" t="s">
        <v>39</v>
      </c>
      <c r="P63" t="s">
        <v>39</v>
      </c>
      <c r="Q63">
        <v>1</v>
      </c>
      <c r="X63">
        <v>1</v>
      </c>
      <c r="Y63">
        <v>54.81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58</v>
      </c>
      <c r="AG63">
        <v>20</v>
      </c>
      <c r="AH63">
        <v>2</v>
      </c>
      <c r="AI63">
        <v>80891657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5">
      <c r="A64">
        <f>ROW(Source!A142)</f>
        <v>142</v>
      </c>
      <c r="B64">
        <v>80891658</v>
      </c>
      <c r="C64">
        <v>80891530</v>
      </c>
      <c r="D64">
        <v>80199986</v>
      </c>
      <c r="E64">
        <v>15514512</v>
      </c>
      <c r="F64">
        <v>1</v>
      </c>
      <c r="G64">
        <v>15514512</v>
      </c>
      <c r="H64">
        <v>1</v>
      </c>
      <c r="I64" t="s">
        <v>260</v>
      </c>
      <c r="J64" t="s">
        <v>3</v>
      </c>
      <c r="K64" t="s">
        <v>261</v>
      </c>
      <c r="L64">
        <v>1191</v>
      </c>
      <c r="N64">
        <v>1013</v>
      </c>
      <c r="O64" t="s">
        <v>262</v>
      </c>
      <c r="P64" t="s">
        <v>262</v>
      </c>
      <c r="Q64">
        <v>1</v>
      </c>
      <c r="X64">
        <v>6.59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1</v>
      </c>
      <c r="AF64" t="s">
        <v>225</v>
      </c>
      <c r="AG64">
        <v>39.54</v>
      </c>
      <c r="AH64">
        <v>2</v>
      </c>
      <c r="AI64">
        <v>80891658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5">
      <c r="A65">
        <f>ROW(Source!A143)</f>
        <v>143</v>
      </c>
      <c r="B65">
        <v>80891710</v>
      </c>
      <c r="C65">
        <v>80891705</v>
      </c>
      <c r="D65">
        <v>80199986</v>
      </c>
      <c r="E65">
        <v>15514512</v>
      </c>
      <c r="F65">
        <v>1</v>
      </c>
      <c r="G65">
        <v>15514512</v>
      </c>
      <c r="H65">
        <v>1</v>
      </c>
      <c r="I65" t="s">
        <v>260</v>
      </c>
      <c r="J65" t="s">
        <v>3</v>
      </c>
      <c r="K65" t="s">
        <v>261</v>
      </c>
      <c r="L65">
        <v>1191</v>
      </c>
      <c r="N65">
        <v>1013</v>
      </c>
      <c r="O65" t="s">
        <v>262</v>
      </c>
      <c r="P65" t="s">
        <v>262</v>
      </c>
      <c r="Q65">
        <v>1</v>
      </c>
      <c r="X65">
        <v>0.18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181</v>
      </c>
      <c r="AG65">
        <v>0.36</v>
      </c>
      <c r="AH65">
        <v>2</v>
      </c>
      <c r="AI65">
        <v>80891706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5">
      <c r="A66">
        <f>ROW(Source!A143)</f>
        <v>143</v>
      </c>
      <c r="B66">
        <v>80891711</v>
      </c>
      <c r="C66">
        <v>80891705</v>
      </c>
      <c r="D66">
        <v>80213250</v>
      </c>
      <c r="E66">
        <v>1</v>
      </c>
      <c r="F66">
        <v>1</v>
      </c>
      <c r="G66">
        <v>15514512</v>
      </c>
      <c r="H66">
        <v>2</v>
      </c>
      <c r="I66" t="s">
        <v>306</v>
      </c>
      <c r="J66" t="s">
        <v>307</v>
      </c>
      <c r="K66" t="s">
        <v>308</v>
      </c>
      <c r="L66">
        <v>1368</v>
      </c>
      <c r="N66">
        <v>1011</v>
      </c>
      <c r="O66" t="s">
        <v>259</v>
      </c>
      <c r="P66" t="s">
        <v>259</v>
      </c>
      <c r="Q66">
        <v>1</v>
      </c>
      <c r="X66">
        <v>0.09</v>
      </c>
      <c r="Y66">
        <v>0</v>
      </c>
      <c r="Z66">
        <v>218.95</v>
      </c>
      <c r="AA66">
        <v>0.48</v>
      </c>
      <c r="AB66">
        <v>0</v>
      </c>
      <c r="AC66">
        <v>0</v>
      </c>
      <c r="AD66">
        <v>1</v>
      </c>
      <c r="AE66">
        <v>0</v>
      </c>
      <c r="AF66" t="s">
        <v>181</v>
      </c>
      <c r="AG66">
        <v>0.18</v>
      </c>
      <c r="AH66">
        <v>2</v>
      </c>
      <c r="AI66">
        <v>80891707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5">
      <c r="A67">
        <f>ROW(Source!A143)</f>
        <v>143</v>
      </c>
      <c r="B67">
        <v>80891712</v>
      </c>
      <c r="C67">
        <v>80891705</v>
      </c>
      <c r="D67">
        <v>80215470</v>
      </c>
      <c r="E67">
        <v>1</v>
      </c>
      <c r="F67">
        <v>1</v>
      </c>
      <c r="G67">
        <v>15514512</v>
      </c>
      <c r="H67">
        <v>3</v>
      </c>
      <c r="I67" t="s">
        <v>37</v>
      </c>
      <c r="J67" t="s">
        <v>40</v>
      </c>
      <c r="K67" t="s">
        <v>38</v>
      </c>
      <c r="L67">
        <v>1339</v>
      </c>
      <c r="N67">
        <v>1007</v>
      </c>
      <c r="O67" t="s">
        <v>39</v>
      </c>
      <c r="P67" t="s">
        <v>39</v>
      </c>
      <c r="Q67">
        <v>1</v>
      </c>
      <c r="X67">
        <v>0.01</v>
      </c>
      <c r="Y67">
        <v>54.81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181</v>
      </c>
      <c r="AG67">
        <v>0.02</v>
      </c>
      <c r="AH67">
        <v>2</v>
      </c>
      <c r="AI67">
        <v>80891708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5">
      <c r="A68">
        <f>ROW(Source!A143)</f>
        <v>143</v>
      </c>
      <c r="B68">
        <v>80891713</v>
      </c>
      <c r="C68">
        <v>80891705</v>
      </c>
      <c r="D68">
        <v>80200065</v>
      </c>
      <c r="E68">
        <v>15514512</v>
      </c>
      <c r="F68">
        <v>1</v>
      </c>
      <c r="G68">
        <v>15514512</v>
      </c>
      <c r="H68">
        <v>3</v>
      </c>
      <c r="I68" t="s">
        <v>311</v>
      </c>
      <c r="J68" t="s">
        <v>3</v>
      </c>
      <c r="K68" t="s">
        <v>312</v>
      </c>
      <c r="L68">
        <v>1296</v>
      </c>
      <c r="N68">
        <v>1002</v>
      </c>
      <c r="O68" t="s">
        <v>239</v>
      </c>
      <c r="P68" t="s">
        <v>239</v>
      </c>
      <c r="Q68">
        <v>1</v>
      </c>
      <c r="X68">
        <v>0.1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 t="s">
        <v>181</v>
      </c>
      <c r="AG68">
        <v>0.2</v>
      </c>
      <c r="AH68">
        <v>3</v>
      </c>
      <c r="AI68">
        <v>-1</v>
      </c>
      <c r="AJ68" t="s">
        <v>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5">
      <c r="A69">
        <f>ROW(Source!A145)</f>
        <v>145</v>
      </c>
      <c r="B69">
        <v>80891720</v>
      </c>
      <c r="C69">
        <v>80891718</v>
      </c>
      <c r="D69">
        <v>80199986</v>
      </c>
      <c r="E69">
        <v>15514512</v>
      </c>
      <c r="F69">
        <v>1</v>
      </c>
      <c r="G69">
        <v>15514512</v>
      </c>
      <c r="H69">
        <v>1</v>
      </c>
      <c r="I69" t="s">
        <v>260</v>
      </c>
      <c r="J69" t="s">
        <v>3</v>
      </c>
      <c r="K69" t="s">
        <v>261</v>
      </c>
      <c r="L69">
        <v>1191</v>
      </c>
      <c r="N69">
        <v>1013</v>
      </c>
      <c r="O69" t="s">
        <v>262</v>
      </c>
      <c r="P69" t="s">
        <v>262</v>
      </c>
      <c r="Q69">
        <v>1</v>
      </c>
      <c r="X69">
        <v>1.42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1</v>
      </c>
      <c r="AF69" t="s">
        <v>245</v>
      </c>
      <c r="AG69">
        <v>4.26</v>
      </c>
      <c r="AH69">
        <v>2</v>
      </c>
      <c r="AI69">
        <v>80891719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5">
      <c r="A70">
        <f>ROW(Source!A146)</f>
        <v>146</v>
      </c>
      <c r="B70">
        <v>80891702</v>
      </c>
      <c r="C70">
        <v>80891698</v>
      </c>
      <c r="D70">
        <v>80199986</v>
      </c>
      <c r="E70">
        <v>15514512</v>
      </c>
      <c r="F70">
        <v>1</v>
      </c>
      <c r="G70">
        <v>15514512</v>
      </c>
      <c r="H70">
        <v>1</v>
      </c>
      <c r="I70" t="s">
        <v>260</v>
      </c>
      <c r="J70" t="s">
        <v>3</v>
      </c>
      <c r="K70" t="s">
        <v>261</v>
      </c>
      <c r="L70">
        <v>1191</v>
      </c>
      <c r="N70">
        <v>1013</v>
      </c>
      <c r="O70" t="s">
        <v>262</v>
      </c>
      <c r="P70" t="s">
        <v>262</v>
      </c>
      <c r="Q70">
        <v>1</v>
      </c>
      <c r="X70">
        <v>0.56000000000000005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3</v>
      </c>
      <c r="AG70">
        <v>0.56000000000000005</v>
      </c>
      <c r="AH70">
        <v>2</v>
      </c>
      <c r="AI70">
        <v>80891699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5">
      <c r="A71">
        <f>ROW(Source!A146)</f>
        <v>146</v>
      </c>
      <c r="B71">
        <v>80891703</v>
      </c>
      <c r="C71">
        <v>80891698</v>
      </c>
      <c r="D71">
        <v>80212805</v>
      </c>
      <c r="E71">
        <v>1</v>
      </c>
      <c r="F71">
        <v>1</v>
      </c>
      <c r="G71">
        <v>15514512</v>
      </c>
      <c r="H71">
        <v>2</v>
      </c>
      <c r="I71" t="s">
        <v>303</v>
      </c>
      <c r="J71" t="s">
        <v>304</v>
      </c>
      <c r="K71" t="s">
        <v>305</v>
      </c>
      <c r="L71">
        <v>1368</v>
      </c>
      <c r="N71">
        <v>1011</v>
      </c>
      <c r="O71" t="s">
        <v>259</v>
      </c>
      <c r="P71" t="s">
        <v>259</v>
      </c>
      <c r="Q71">
        <v>1</v>
      </c>
      <c r="X71">
        <v>0.3</v>
      </c>
      <c r="Y71">
        <v>0</v>
      </c>
      <c r="Z71">
        <v>2997.56</v>
      </c>
      <c r="AA71">
        <v>1034.8599999999999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0.3</v>
      </c>
      <c r="AH71">
        <v>2</v>
      </c>
      <c r="AI71">
        <v>80891700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5">
      <c r="A72">
        <f>ROW(Source!A146)</f>
        <v>146</v>
      </c>
      <c r="B72">
        <v>80891704</v>
      </c>
      <c r="C72">
        <v>80891698</v>
      </c>
      <c r="D72">
        <v>80215470</v>
      </c>
      <c r="E72">
        <v>1</v>
      </c>
      <c r="F72">
        <v>1</v>
      </c>
      <c r="G72">
        <v>15514512</v>
      </c>
      <c r="H72">
        <v>3</v>
      </c>
      <c r="I72" t="s">
        <v>37</v>
      </c>
      <c r="J72" t="s">
        <v>40</v>
      </c>
      <c r="K72" t="s">
        <v>38</v>
      </c>
      <c r="L72">
        <v>1339</v>
      </c>
      <c r="N72">
        <v>1007</v>
      </c>
      <c r="O72" t="s">
        <v>39</v>
      </c>
      <c r="P72" t="s">
        <v>39</v>
      </c>
      <c r="Q72">
        <v>1</v>
      </c>
      <c r="X72">
        <v>1</v>
      </c>
      <c r="Y72">
        <v>54.81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1</v>
      </c>
      <c r="AH72">
        <v>2</v>
      </c>
      <c r="AI72">
        <v>80891701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A0C9C-8058-4EF8-8D5E-CE4CA4B2AFCC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72D75-72E1-485C-8F80-5E0693939474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Зона 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1-5,7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1-5,7'!Заголовки_для_печати</vt:lpstr>
      <vt:lpstr>'Ведомость объемов работ'!Область_печати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2025-11-27T12:56:56Z</dcterms:created>
  <dcterms:modified xsi:type="dcterms:W3CDTF">2025-12-09T09:32:37Z</dcterms:modified>
</cp:coreProperties>
</file>